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4" activeTab="1"/>
  </bookViews>
  <sheets>
    <sheet name="Summary" sheetId="1" r:id="rId1"/>
    <sheet name="Historical" sheetId="2" r:id="rId2"/>
    <sheet name="Future" sheetId="3" r:id="rId3"/>
    <sheet name="New 1" sheetId="4" r:id="rId4"/>
    <sheet name="New 2" sheetId="5" r:id="rId5"/>
    <sheet name="Divrsfd -IS" sheetId="6" r:id="rId6"/>
    <sheet name="Divrsfd - BS" sheetId="7" r:id="rId7"/>
    <sheet name="Yr 1 Break" sheetId="8" r:id="rId8"/>
    <sheet name="Yr 2 Break" sheetId="9" r:id="rId9"/>
    <sheet name="financial analysis" sheetId="10" r:id="rId10"/>
    <sheet name="Yr 3 Break" sheetId="11" r:id="rId11"/>
  </sheets>
  <definedNames>
    <definedName name="BE_Fixed" localSheetId="8">'Yr 2 Break'!$B$11</definedName>
    <definedName name="BE_Fixed" localSheetId="10">'Yr 3 Break'!$B$11</definedName>
    <definedName name="BE_Fixed">'Yr 1 Break'!$B$11</definedName>
    <definedName name="BE_Revenue" localSheetId="8">'Yr 2 Break'!$A$11</definedName>
    <definedName name="BE_Revenue" localSheetId="10">'Yr 3 Break'!$A$11</definedName>
    <definedName name="BE_Revenue">'Yr 1 Break'!$A$11</definedName>
    <definedName name="BE_Total" localSheetId="8">'Yr 2 Break'!$D$11</definedName>
    <definedName name="BE_Total" localSheetId="10">'Yr 3 Break'!$D$11</definedName>
    <definedName name="BE_Total">'Yr 1 Break'!$D$11</definedName>
    <definedName name="BE_Variable" localSheetId="8">'Yr 2 Break'!$C$11</definedName>
    <definedName name="BE_Variable" localSheetId="10">'Yr 3 Break'!$C$11</definedName>
    <definedName name="BE_Variable">'Yr 1 Break'!$C$11</definedName>
    <definedName name="Contribution_margin" localSheetId="8">'Yr 2 Break'!$E$5</definedName>
    <definedName name="Contribution_margin" localSheetId="10">'Yr 3 Break'!$E$5</definedName>
    <definedName name="Contribution_margin">'Yr 1 Break'!$E$5</definedName>
    <definedName name="Fixed_expenses" localSheetId="8">'Yr 2 Break'!$E$4</definedName>
    <definedName name="Fixed_expenses" localSheetId="10">'Yr 3 Break'!$E$4</definedName>
    <definedName name="Fixed_expenses">'Yr 1 Break'!$E$4</definedName>
    <definedName name="_xlnm.Print_Area" localSheetId="6">'Divrsfd - BS'!$A$1:$O$45</definedName>
    <definedName name="_xlnm.Print_Area" localSheetId="5">'Divrsfd -IS'!$A$1:$P$65</definedName>
    <definedName name="_xlnm.Print_Area" localSheetId="2">'Future'!$A$1:$P$59</definedName>
    <definedName name="_xlnm.Print_Area" localSheetId="1">'Historical'!$A$1:$P$55</definedName>
    <definedName name="_xlnm.Print_Area" localSheetId="3">'New 1'!$A$4:$P$103</definedName>
    <definedName name="_xlnm.Print_Area" localSheetId="4">'New 2'!$A$4:$P$103</definedName>
    <definedName name="_xlnm.Print_Area" localSheetId="7">'Yr 1 Break'!$A$1:$E$45</definedName>
    <definedName name="_xlnm.Print_Area" localSheetId="8">'Yr 2 Break'!$A$1:$E$45</definedName>
    <definedName name="_xlnm.Print_Area" localSheetId="10">'Yr 3 Break'!$A$1:$E$45</definedName>
    <definedName name="_xlnm.Print_Titles" localSheetId="5">'Divrsfd -IS'!$A:$A,'Divrsfd -IS'!$1:$2</definedName>
    <definedName name="Revenue_increments" localSheetId="8">'Yr 2 Break'!$E$6</definedName>
    <definedName name="Revenue_increments" localSheetId="10">'Yr 3 Break'!$E$6</definedName>
    <definedName name="Revenue_increments">'Yr 1 Break'!$E$6</definedName>
    <definedName name="Table_Fixed" localSheetId="8">'Yr 2 Break'!$B$17:$B$38</definedName>
    <definedName name="Table_Fixed" localSheetId="10">'Yr 3 Break'!$B$17:$B$38</definedName>
    <definedName name="Table_Fixed">'Yr 1 Break'!$B$17:$B$38</definedName>
    <definedName name="Table_Revenue" localSheetId="8">'Yr 2 Break'!$A$17:$A$38</definedName>
    <definedName name="Table_Revenue" localSheetId="10">'Yr 3 Break'!$A$17:$A$38</definedName>
    <definedName name="Table_Revenue">'Yr 1 Break'!$A$17:$A$38</definedName>
    <definedName name="Table_total" localSheetId="8">'Yr 2 Break'!$D$17:$D$38</definedName>
    <definedName name="Table_total" localSheetId="10">'Yr 3 Break'!$D$17:$D$38</definedName>
    <definedName name="Table_total">'Yr 1 Break'!$D$17:$D$38</definedName>
    <definedName name="Table_Variable" localSheetId="8">'Yr 2 Break'!$C$17:$C$38</definedName>
    <definedName name="Table_Variable" localSheetId="10">'Yr 3 Break'!$C$17:$C$38</definedName>
    <definedName name="Table_Variable">'Yr 1 Break'!$C$17:$C$38</definedName>
  </definedNames>
  <calcPr fullCalcOnLoad="1"/>
</workbook>
</file>

<file path=xl/sharedStrings.xml><?xml version="1.0" encoding="utf-8"?>
<sst xmlns="http://schemas.openxmlformats.org/spreadsheetml/2006/main" count="613" uniqueCount="255">
  <si>
    <t>Income Statement</t>
  </si>
  <si>
    <t>Liquor Sales</t>
  </si>
  <si>
    <t>Miscellaneous</t>
  </si>
  <si>
    <t>Gross Revenue</t>
  </si>
  <si>
    <t>Direct Expenses</t>
  </si>
  <si>
    <t>Wages &amp; Benefits</t>
  </si>
  <si>
    <t>Total Direct Expenses</t>
  </si>
  <si>
    <t>% of Revenue</t>
  </si>
  <si>
    <t>Gross Profit</t>
  </si>
  <si>
    <t>%  of Revenue</t>
  </si>
  <si>
    <t xml:space="preserve"> </t>
  </si>
  <si>
    <t>Insurance</t>
  </si>
  <si>
    <t>Property Taxes</t>
  </si>
  <si>
    <t>Total Interest Costs</t>
  </si>
  <si>
    <t>Pretax Income</t>
  </si>
  <si>
    <t>Current Assets</t>
  </si>
  <si>
    <t>Cash</t>
  </si>
  <si>
    <t>Accounts Receivable</t>
  </si>
  <si>
    <t>Inventory</t>
  </si>
  <si>
    <t>Prepaids</t>
  </si>
  <si>
    <t>Total Current Assets</t>
  </si>
  <si>
    <t>Fixed Assets</t>
  </si>
  <si>
    <t>Net Fixed Assets</t>
  </si>
  <si>
    <t>Total Assets</t>
  </si>
  <si>
    <t>Liabilities &amp; Equity</t>
  </si>
  <si>
    <t>Current Liabilities</t>
  </si>
  <si>
    <t>Bank Overdraft</t>
  </si>
  <si>
    <t>Bank Loans</t>
  </si>
  <si>
    <t>Total Current Liabilities</t>
  </si>
  <si>
    <t>Long Term Liabilities</t>
  </si>
  <si>
    <t>Bank loans</t>
  </si>
  <si>
    <t>Shareholder Loans</t>
  </si>
  <si>
    <t>Total Long Term Liabilities</t>
  </si>
  <si>
    <t>Total Liabilities</t>
  </si>
  <si>
    <t>Shareholders' Equity</t>
  </si>
  <si>
    <t>Capital Stock</t>
  </si>
  <si>
    <t>Retained Earnings</t>
  </si>
  <si>
    <t>Total Shareholders' Equity</t>
  </si>
  <si>
    <t>Total Liabilities &amp; Equity</t>
  </si>
  <si>
    <t>Revenue</t>
  </si>
  <si>
    <t>Repairs &amp; Maintenance</t>
  </si>
  <si>
    <t>Accommodations</t>
  </si>
  <si>
    <t>Diversification Loan</t>
  </si>
  <si>
    <t>Past Financial Information</t>
  </si>
  <si>
    <t>program in place.  Both revenue &amp; expenses have been adjusted</t>
  </si>
  <si>
    <t>to reflect the diversification project.</t>
  </si>
  <si>
    <t xml:space="preserve">Financial Projections </t>
  </si>
  <si>
    <t>Break-even Analysis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</si>
  <si>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</si>
  <si>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</si>
  <si>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</si>
  <si>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</si>
  <si>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</si>
  <si>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</si>
  <si>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</si>
  <si>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</si>
  <si>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</si>
  <si>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</si>
  <si>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</si>
  <si>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</si>
  <si>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Food</t>
  </si>
  <si>
    <t>Merchandise Sales</t>
  </si>
  <si>
    <t>Merchandise cost of goods sold</t>
  </si>
  <si>
    <t>Kayaks &amp; canoes</t>
  </si>
  <si>
    <t>Instruction programs</t>
  </si>
  <si>
    <t>General Expenses</t>
  </si>
  <si>
    <t>Administrative</t>
  </si>
  <si>
    <t>Utilities</t>
  </si>
  <si>
    <t>Marketing</t>
  </si>
  <si>
    <t>Total General Expense</t>
  </si>
  <si>
    <t>Income before Fixed Expenses</t>
  </si>
  <si>
    <t>Fixed Expenses</t>
  </si>
  <si>
    <t>Management Fees</t>
  </si>
  <si>
    <t>Total Fixed Expenses</t>
  </si>
  <si>
    <t>Net Operating Income</t>
  </si>
  <si>
    <t>Supplies</t>
  </si>
  <si>
    <t>Cash Flow available for Debt Service</t>
  </si>
  <si>
    <t>Forecast</t>
  </si>
  <si>
    <t>Bank Interest-Line</t>
  </si>
  <si>
    <t>Rooms Available</t>
  </si>
  <si>
    <t>Rooms Sold</t>
  </si>
  <si>
    <t>Occupancy</t>
  </si>
  <si>
    <t>Average Rate</t>
  </si>
  <si>
    <t>ASSUMPTIONS</t>
  </si>
  <si>
    <t>Reserve for Replacement</t>
  </si>
  <si>
    <t>Assumptions</t>
  </si>
  <si>
    <t>2. Merchandise sales from kayak's and related equipment.</t>
  </si>
  <si>
    <t>3.  Direct expense - Food  expense for Kayak trips, instructors cost  - wages, new kayaks. SEE SUMMARY</t>
  </si>
  <si>
    <t>4. General &amp; Fixed Expenses  SEE SUMMARY</t>
  </si>
  <si>
    <t>5.  New diversified business capital expenditure $150,000.00 SEE CAPITAL EXPENDITURE SUMMARY</t>
  </si>
  <si>
    <t>6.  Debt Service $150,000.00 @10% over 10 year amortization. 7 monthly interest payments @ $2,150.00</t>
  </si>
  <si>
    <t>Lake Huron trips</t>
  </si>
  <si>
    <t>4 day trips</t>
  </si>
  <si>
    <t>5 day trips</t>
  </si>
  <si>
    <t>6 day trips</t>
  </si>
  <si>
    <t>Lake Huron Total</t>
  </si>
  <si>
    <t>Lake Superior trips</t>
  </si>
  <si>
    <t xml:space="preserve">6 day trips </t>
  </si>
  <si>
    <t>8 day trips</t>
  </si>
  <si>
    <t>Symposium</t>
  </si>
  <si>
    <t>Overnight trip</t>
  </si>
  <si>
    <t>Skills course</t>
  </si>
  <si>
    <t>Day trips</t>
  </si>
  <si>
    <t>Weekend upgrades</t>
  </si>
  <si>
    <t>Sirius wilderness training</t>
  </si>
  <si>
    <t>Instruction Total</t>
  </si>
  <si>
    <t>Lake Superior trips Total</t>
  </si>
  <si>
    <t>Special Services</t>
  </si>
  <si>
    <t>Clothing</t>
  </si>
  <si>
    <t>Equipment</t>
  </si>
  <si>
    <t>Kayaks &amp; Canoes.</t>
  </si>
  <si>
    <t>Total Merchandise Sales</t>
  </si>
  <si>
    <t>Merchandise Sales Revenue</t>
  </si>
  <si>
    <t>Total Revenue</t>
  </si>
  <si>
    <t>Cost of Goods Sold</t>
  </si>
  <si>
    <t>Outtrip Food</t>
  </si>
  <si>
    <t>Equipment Rental</t>
  </si>
  <si>
    <t>Total Cost of Goods Sold</t>
  </si>
  <si>
    <t>Merchandise Freight Expense</t>
  </si>
  <si>
    <t>Courier &amp; Postage</t>
  </si>
  <si>
    <t>Accounting &amp; legal</t>
  </si>
  <si>
    <t>Credit Card Charges</t>
  </si>
  <si>
    <t>Office Supplies</t>
  </si>
  <si>
    <t>Telephone</t>
  </si>
  <si>
    <t>Total Administration</t>
  </si>
  <si>
    <t>Advertising</t>
  </si>
  <si>
    <t>Travel &amp; Entertainment</t>
  </si>
  <si>
    <t>Total Marketing</t>
  </si>
  <si>
    <t>Facility Improvements</t>
  </si>
  <si>
    <t>Repair Supplies</t>
  </si>
  <si>
    <t>Vehicle Fuel</t>
  </si>
  <si>
    <t>Vehicle Leasing &amp; Rental</t>
  </si>
  <si>
    <t>Total Repairs &amp; Maintenance</t>
  </si>
  <si>
    <t>Benefits</t>
  </si>
  <si>
    <t>Expense Base Summary</t>
  </si>
  <si>
    <t>Revenue Base Summary</t>
  </si>
  <si>
    <t>Kayak Trips Revenue</t>
  </si>
  <si>
    <t>Salary 4 guides @ $4,535</t>
  </si>
  <si>
    <t>Staff Training/computer</t>
  </si>
  <si>
    <t>Print Media</t>
  </si>
  <si>
    <t>Memberships/travel</t>
  </si>
  <si>
    <t>Acme Wilderness Adventures - Diversification #1</t>
  </si>
  <si>
    <t>1. Two businesses are joined together in a consolidated statement.</t>
  </si>
  <si>
    <t>2. Certain increase in guestrooms sold are anticipated as a result of Kayak business on property.</t>
  </si>
  <si>
    <t>3. Various marketing functions are initiated to bring overnight daytrip business (instructional etc.)</t>
  </si>
  <si>
    <t>Assets</t>
  </si>
  <si>
    <t xml:space="preserve">Other </t>
  </si>
  <si>
    <t>less Depreciation</t>
  </si>
  <si>
    <t>Accounts Payable</t>
  </si>
  <si>
    <t>Without Diversification</t>
  </si>
  <si>
    <t>A summary of the next three years of operations with a diversification</t>
  </si>
  <si>
    <t>Income &amp; expense projections  with Balance Sheet details.</t>
  </si>
  <si>
    <t>Prior Year-End</t>
  </si>
  <si>
    <t>Total</t>
  </si>
  <si>
    <t>Year 1</t>
  </si>
  <si>
    <t>Year 2</t>
  </si>
  <si>
    <t>Year 3</t>
  </si>
  <si>
    <t>Bank Interest- Credit</t>
  </si>
  <si>
    <t>Bank Interest- Term</t>
  </si>
  <si>
    <t>Bank Interest- Loan</t>
  </si>
  <si>
    <t>Cash flow available for Debt Service</t>
  </si>
  <si>
    <t xml:space="preserve">1. Revenue base derived from guided kayak excursions, instruction programs, local area Certification programs, and day trippers SEE SUMMARY. </t>
  </si>
  <si>
    <t>Instruction Program</t>
  </si>
  <si>
    <t>Growth Rate</t>
  </si>
  <si>
    <t xml:space="preserve">Food cost of goods </t>
  </si>
  <si>
    <t xml:space="preserve">Liquor cost of goods </t>
  </si>
  <si>
    <t>Kayak Trips - Huron</t>
  </si>
  <si>
    <t>Kayak Trips - Superior</t>
  </si>
  <si>
    <t>Clothing &amp; equipment</t>
  </si>
  <si>
    <t>Allocation to Monthly periods</t>
  </si>
  <si>
    <t>Current Earnings (loss)</t>
  </si>
  <si>
    <t xml:space="preserve">                       Fixed expenses &amp; debt servicing costs:</t>
  </si>
  <si>
    <t>Contribution margin:</t>
  </si>
  <si>
    <t>Revenue increments in table:</t>
  </si>
  <si>
    <t>BREAK EVEN POINT CALCULATION</t>
  </si>
  <si>
    <t>Fixed</t>
  </si>
  <si>
    <t>Variable</t>
  </si>
  <si>
    <t>Profit</t>
  </si>
  <si>
    <t>Expenses</t>
  </si>
  <si>
    <t>or Loss</t>
  </si>
  <si>
    <t>BREAK EVEN TABLE</t>
  </si>
  <si>
    <t>Expense -</t>
  </si>
  <si>
    <t xml:space="preserve">Expense - </t>
  </si>
  <si>
    <t>Profit (loss)</t>
  </si>
  <si>
    <t>BREAK-EVEN ANALYSIS YEAR 3</t>
  </si>
  <si>
    <t>BREAK-EVEN ANALYSIS YEAR 2</t>
  </si>
  <si>
    <t>BREAK-EVEN ANALYSIS YEAR 1</t>
  </si>
  <si>
    <t>Total General Expenses</t>
  </si>
  <si>
    <t>Loan Payable</t>
  </si>
  <si>
    <t>Current Year</t>
  </si>
  <si>
    <t>GROWTH RATE</t>
  </si>
  <si>
    <t>INCOME FORSECAST</t>
  </si>
  <si>
    <t>Fifteen room lakefront fishing lodge - 35 years old, good repair.</t>
  </si>
  <si>
    <t>Modified American Plan - seasonal family operation</t>
  </si>
  <si>
    <t>Management Fee &amp; Reserve for Replacement</t>
  </si>
  <si>
    <t>The average rate begins to show increase rate resistance starting in 2002.</t>
  </si>
  <si>
    <t>No outstanding mortgage, renewable line of credit.</t>
  </si>
  <si>
    <t>Salaries &amp; benefits</t>
  </si>
  <si>
    <t>Gas &amp; oil</t>
  </si>
  <si>
    <t>New Venture 2</t>
  </si>
  <si>
    <t>New Venture 1</t>
  </si>
  <si>
    <t>Billy's ATV Rental</t>
  </si>
  <si>
    <t>Rental 1</t>
  </si>
  <si>
    <t>Billy's Rentals - Diversification #2</t>
  </si>
  <si>
    <t>A</t>
  </si>
  <si>
    <t>B</t>
  </si>
  <si>
    <t>C</t>
  </si>
  <si>
    <t>D</t>
  </si>
  <si>
    <t>E</t>
  </si>
  <si>
    <t>F</t>
  </si>
  <si>
    <t>G</t>
  </si>
  <si>
    <t>Rental 1 total</t>
  </si>
  <si>
    <t>Rental 2</t>
  </si>
  <si>
    <t>Rental 2 total</t>
  </si>
  <si>
    <t>Instruction</t>
  </si>
  <si>
    <t>Mechanics course</t>
  </si>
  <si>
    <t>Merchandise</t>
  </si>
  <si>
    <t>Souvenirs</t>
  </si>
  <si>
    <t>Wages</t>
  </si>
  <si>
    <t>Billy's ATV Rental 1</t>
  </si>
  <si>
    <t>Billy's ATV Rental 2</t>
  </si>
  <si>
    <t xml:space="preserve">Gas &amp; Oil </t>
  </si>
  <si>
    <t>Merchandise freight expense</t>
  </si>
  <si>
    <t>Historic Model</t>
  </si>
  <si>
    <t>Business has been declining slightly.</t>
  </si>
  <si>
    <t>Three Year Forecast</t>
  </si>
  <si>
    <t xml:space="preserve">In the forecasted year-end statements for 2002 - 2004 the occupancy is declining due to </t>
  </si>
  <si>
    <t xml:space="preserve">general economic conditions and a reflection of increased market competition. </t>
  </si>
  <si>
    <t>Diversification Model</t>
  </si>
  <si>
    <t>for New Business</t>
  </si>
  <si>
    <t xml:space="preserve">Includes Assumptions &amp; Summary for revenue &amp; expense base, </t>
  </si>
  <si>
    <t>Prepares monthly and two year forecast</t>
  </si>
  <si>
    <t xml:space="preserve">Consolidated Model </t>
  </si>
  <si>
    <t>With Added Diversification</t>
  </si>
  <si>
    <t>Balance Sheet</t>
  </si>
  <si>
    <t>Integrated summary from the Consolidated Model with inclusions.</t>
  </si>
  <si>
    <t>Break-even chart for proposed three years of operations.</t>
  </si>
  <si>
    <t>Actual</t>
  </si>
  <si>
    <t>Projected</t>
  </si>
  <si>
    <t xml:space="preserve">Actual </t>
  </si>
  <si>
    <t xml:space="preserve">Projected </t>
  </si>
  <si>
    <t>Current Ratio</t>
  </si>
  <si>
    <t>Total Debt</t>
  </si>
  <si>
    <t>Tt.Debt/Tl.Assets</t>
  </si>
  <si>
    <t>Owner's Equity</t>
  </si>
  <si>
    <t>Total Debt to Equity</t>
  </si>
  <si>
    <t>Earnings before tax</t>
  </si>
  <si>
    <t>&amp; interest</t>
  </si>
  <si>
    <t>Interest</t>
  </si>
  <si>
    <t>Interest Coverage</t>
  </si>
  <si>
    <t>Sales</t>
  </si>
  <si>
    <t>Profitability</t>
  </si>
  <si>
    <t>Return on Invest.</t>
  </si>
  <si>
    <t>Financial Analysis</t>
  </si>
  <si>
    <t>Summary of financial and banking ratios.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</si>
</sst>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[Red]\(#,##0.0\)"/>
    <numFmt numFmtId="173" formatCode="0.0%"/>
    <numFmt numFmtId="174" formatCode="&quot;$&quot;#,##0.000_);[Red]\(&quot;$&quot;#,##0.000\)"/>
    <numFmt numFmtId="175" formatCode="&quot;$&quot;#,##0.0_);[Red]\(&quot;$&quot;#,##0.0\)"/>
    <numFmt numFmtId="176" formatCode="0.000%"/>
    <numFmt numFmtId="177" formatCode="m/d"/>
    <numFmt numFmtId="178" formatCode="#,##0.000_);[Red]\(#,##0.000\)"/>
    <numFmt numFmtId="179" formatCode="0.00000"/>
    <numFmt numFmtId="180" formatCode="0.0000"/>
    <numFmt numFmtId="181" formatCode="0.000"/>
    <numFmt numFmtId="182" formatCode="0.000000"/>
    <numFmt numFmtId="183" formatCode="0.0"/>
    <numFmt numFmtId="184" formatCode="#,##0.00000"/>
    <numFmt numFmtId="185" formatCode="0.00000000"/>
    <numFmt numFmtId="186" formatCode="0.0000000"/>
    <numFmt numFmtId="187" formatCode="0_);[Red]\(0\)"/>
    <numFmt numFmtId="188" formatCode="#,##0.0;[Red]\-#,##0.0"/>
    <numFmt numFmtId="189" formatCode="0;[Red]\(0\)"/>
    <numFmt numFmtId="190" formatCode="_-* #,##0_-;\(* #,##0\);_-* &quot;-&quot;_-;_-@_-"/>
    <numFmt numFmtId="191" formatCode="0.00%;\(0.00%\)"/>
    <numFmt numFmtId="192" formatCode="_-* #,##0.0_-;\-* #,##0.0_-;_-* &quot;-&quot;??_-;_-@_-"/>
    <numFmt numFmtId="193" formatCode="_-* #,##0_-;\-* #,##0_-;_-* &quot;-&quot;??_-;_-@_-"/>
    <numFmt numFmtId="194" formatCode="0.0%;\(0.0%\)"/>
    <numFmt numFmtId="195" formatCode="0%;\(0%\)"/>
    <numFmt numFmtId="196" formatCode="#,##0.000;[Red]\-#,##0.000"/>
  </numFmts>
  <fonts count="50">
    <font>
      <sz val="10"/>
      <name val="Times New Roman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9"/>
      <name val="Times New Roman"/>
      <family val="0"/>
    </font>
    <font>
      <sz val="8"/>
      <name val="Times New Roman"/>
      <family val="0"/>
    </font>
    <font>
      <b/>
      <sz val="9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.5"/>
      <name val="MS Sans Serif"/>
      <family val="2"/>
    </font>
    <font>
      <b/>
      <sz val="16"/>
      <name val="Times New Roman"/>
      <family val="1"/>
    </font>
    <font>
      <b/>
      <sz val="18"/>
      <name val="Times New Roman"/>
      <family val="0"/>
    </font>
    <font>
      <sz val="12"/>
      <name val="Times New Roman"/>
      <family val="0"/>
    </font>
    <font>
      <sz val="12"/>
      <color indexed="10"/>
      <name val="Times New Roman"/>
      <family val="0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38" fontId="0" fillId="0" borderId="0" xfId="0" applyNumberFormat="1" applyFont="1" applyAlignment="1">
      <alignment horizontal="center"/>
    </xf>
    <xf numFmtId="38" fontId="0" fillId="0" borderId="0" xfId="42" applyNumberFormat="1" applyFont="1" applyAlignment="1">
      <alignment horizontal="center"/>
    </xf>
    <xf numFmtId="38" fontId="0" fillId="0" borderId="10" xfId="0" applyNumberFormat="1" applyFont="1" applyBorder="1" applyAlignment="1">
      <alignment horizontal="center"/>
    </xf>
    <xf numFmtId="172" fontId="0" fillId="0" borderId="0" xfId="42" applyNumberFormat="1" applyFont="1" applyAlignment="1">
      <alignment horizontal="center"/>
    </xf>
    <xf numFmtId="38" fontId="0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172" fontId="0" fillId="0" borderId="0" xfId="42" applyNumberFormat="1" applyFont="1" applyAlignment="1">
      <alignment/>
    </xf>
    <xf numFmtId="172" fontId="5" fillId="0" borderId="0" xfId="42" applyNumberFormat="1" applyFont="1" applyAlignment="1">
      <alignment/>
    </xf>
    <xf numFmtId="0" fontId="0" fillId="0" borderId="0" xfId="0" applyFont="1" applyAlignment="1">
      <alignment/>
    </xf>
    <xf numFmtId="38" fontId="0" fillId="0" borderId="0" xfId="42" applyNumberFormat="1" applyFont="1" applyAlignment="1">
      <alignment/>
    </xf>
    <xf numFmtId="172" fontId="0" fillId="0" borderId="0" xfId="0" applyNumberFormat="1" applyFont="1" applyAlignment="1">
      <alignment horizontal="center"/>
    </xf>
    <xf numFmtId="172" fontId="7" fillId="0" borderId="0" xfId="42" applyNumberFormat="1" applyFont="1" applyAlignment="1">
      <alignment/>
    </xf>
    <xf numFmtId="172" fontId="8" fillId="0" borderId="0" xfId="42" applyNumberFormat="1" applyFont="1" applyAlignment="1">
      <alignment/>
    </xf>
    <xf numFmtId="172" fontId="9" fillId="0" borderId="0" xfId="42" applyNumberFormat="1" applyFont="1" applyAlignment="1">
      <alignment/>
    </xf>
    <xf numFmtId="38" fontId="8" fillId="0" borderId="0" xfId="42" applyNumberFormat="1" applyFont="1" applyAlignment="1">
      <alignment/>
    </xf>
    <xf numFmtId="0" fontId="0" fillId="0" borderId="0" xfId="0" applyFont="1" applyAlignment="1">
      <alignment horizontal="left"/>
    </xf>
    <xf numFmtId="9" fontId="5" fillId="0" borderId="0" xfId="57" applyFont="1" applyAlignment="1">
      <alignment horizontal="center"/>
    </xf>
    <xf numFmtId="0" fontId="8" fillId="0" borderId="0" xfId="0" applyFont="1" applyAlignment="1">
      <alignment/>
    </xf>
    <xf numFmtId="17" fontId="9" fillId="0" borderId="10" xfId="0" applyNumberFormat="1" applyFont="1" applyBorder="1" applyAlignment="1">
      <alignment horizontal="center"/>
    </xf>
    <xf numFmtId="172" fontId="8" fillId="0" borderId="0" xfId="42" applyNumberFormat="1" applyFont="1" applyAlignment="1">
      <alignment horizontal="center"/>
    </xf>
    <xf numFmtId="38" fontId="5" fillId="0" borderId="0" xfId="42" applyNumberFormat="1" applyFont="1" applyAlignment="1">
      <alignment horizontal="center"/>
    </xf>
    <xf numFmtId="172" fontId="7" fillId="0" borderId="0" xfId="42" applyNumberFormat="1" applyFont="1" applyAlignment="1" quotePrefix="1">
      <alignment horizontal="left"/>
    </xf>
    <xf numFmtId="172" fontId="7" fillId="0" borderId="0" xfId="42" applyNumberFormat="1" applyFont="1" applyAlignment="1">
      <alignment horizontal="left"/>
    </xf>
    <xf numFmtId="173" fontId="7" fillId="0" borderId="0" xfId="57" applyNumberFormat="1" applyFont="1" applyAlignment="1">
      <alignment/>
    </xf>
    <xf numFmtId="9" fontId="0" fillId="0" borderId="0" xfId="57" applyNumberFormat="1" applyFont="1" applyAlignment="1">
      <alignment horizontal="center"/>
    </xf>
    <xf numFmtId="173" fontId="8" fillId="0" borderId="0" xfId="57" applyNumberFormat="1" applyFont="1" applyAlignment="1">
      <alignment/>
    </xf>
    <xf numFmtId="173" fontId="0" fillId="0" borderId="0" xfId="57" applyNumberFormat="1" applyFont="1" applyAlignment="1">
      <alignment horizontal="center"/>
    </xf>
    <xf numFmtId="173" fontId="9" fillId="0" borderId="0" xfId="57" applyNumberFormat="1" applyFont="1" applyAlignment="1">
      <alignment/>
    </xf>
    <xf numFmtId="9" fontId="0" fillId="0" borderId="0" xfId="42" applyNumberFormat="1" applyFont="1" applyAlignment="1">
      <alignment horizontal="center"/>
    </xf>
    <xf numFmtId="172" fontId="6" fillId="0" borderId="0" xfId="42" applyNumberFormat="1" applyFont="1" applyAlignment="1">
      <alignment/>
    </xf>
    <xf numFmtId="38" fontId="0" fillId="0" borderId="0" xfId="42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7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2" fontId="10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172" fontId="0" fillId="0" borderId="0" xfId="42" applyNumberFormat="1" applyFont="1" applyAlignment="1">
      <alignment/>
    </xf>
    <xf numFmtId="172" fontId="9" fillId="0" borderId="0" xfId="42" applyNumberFormat="1" applyFont="1" applyAlignment="1">
      <alignment horizontal="left"/>
    </xf>
    <xf numFmtId="172" fontId="9" fillId="0" borderId="0" xfId="42" applyNumberFormat="1" applyFont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 horizontal="center"/>
    </xf>
    <xf numFmtId="38" fontId="5" fillId="0" borderId="0" xfId="44" applyNumberFormat="1" applyFont="1" applyAlignment="1">
      <alignment horizontal="center"/>
    </xf>
    <xf numFmtId="38" fontId="5" fillId="0" borderId="0" xfId="42" applyNumberFormat="1" applyFont="1" applyAlignment="1">
      <alignment horizontal="center"/>
    </xf>
    <xf numFmtId="38" fontId="5" fillId="0" borderId="0" xfId="42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2" fontId="5" fillId="0" borderId="0" xfId="42" applyNumberFormat="1" applyFont="1" applyBorder="1" applyAlignment="1">
      <alignment/>
    </xf>
    <xf numFmtId="172" fontId="8" fillId="0" borderId="0" xfId="42" applyNumberFormat="1" applyFont="1" applyBorder="1" applyAlignment="1">
      <alignment horizontal="center"/>
    </xf>
    <xf numFmtId="172" fontId="8" fillId="0" borderId="0" xfId="42" applyNumberFormat="1" applyFont="1" applyBorder="1" applyAlignment="1">
      <alignment/>
    </xf>
    <xf numFmtId="172" fontId="10" fillId="0" borderId="0" xfId="42" applyNumberFormat="1" applyFont="1" applyBorder="1" applyAlignment="1">
      <alignment/>
    </xf>
    <xf numFmtId="0" fontId="9" fillId="0" borderId="0" xfId="0" applyFont="1" applyAlignment="1">
      <alignment/>
    </xf>
    <xf numFmtId="172" fontId="7" fillId="0" borderId="0" xfId="42" applyNumberFormat="1" applyFont="1" applyAlignment="1">
      <alignment horizontal="center"/>
    </xf>
    <xf numFmtId="0" fontId="7" fillId="0" borderId="0" xfId="0" applyFont="1" applyAlignment="1">
      <alignment horizontal="center"/>
    </xf>
    <xf numFmtId="172" fontId="7" fillId="0" borderId="0" xfId="42" applyNumberFormat="1" applyFont="1" applyAlignment="1">
      <alignment/>
    </xf>
    <xf numFmtId="17" fontId="9" fillId="0" borderId="0" xfId="0" applyNumberFormat="1" applyFont="1" applyBorder="1" applyAlignment="1">
      <alignment horizontal="center"/>
    </xf>
    <xf numFmtId="172" fontId="7" fillId="0" borderId="0" xfId="42" applyNumberFormat="1" applyFont="1" applyBorder="1" applyAlignment="1">
      <alignment/>
    </xf>
    <xf numFmtId="9" fontId="7" fillId="0" borderId="0" xfId="57" applyFont="1" applyAlignment="1">
      <alignment horizontal="center"/>
    </xf>
    <xf numFmtId="8" fontId="7" fillId="0" borderId="0" xfId="44" applyFont="1" applyAlignment="1">
      <alignment horizontal="center"/>
    </xf>
    <xf numFmtId="172" fontId="12" fillId="0" borderId="0" xfId="42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172" fontId="14" fillId="0" borderId="0" xfId="42" applyNumberFormat="1" applyFont="1" applyAlignment="1">
      <alignment/>
    </xf>
    <xf numFmtId="172" fontId="5" fillId="0" borderId="0" xfId="42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172" fontId="9" fillId="0" borderId="11" xfId="42" applyNumberFormat="1" applyFont="1" applyBorder="1" applyAlignment="1" quotePrefix="1">
      <alignment horizontal="left"/>
    </xf>
    <xf numFmtId="172" fontId="8" fillId="0" borderId="11" xfId="42" applyNumberFormat="1" applyFont="1" applyBorder="1" applyAlignment="1">
      <alignment/>
    </xf>
    <xf numFmtId="172" fontId="7" fillId="0" borderId="0" xfId="42" applyNumberFormat="1" applyFont="1" applyBorder="1" applyAlignment="1">
      <alignment/>
    </xf>
    <xf numFmtId="172" fontId="9" fillId="0" borderId="11" xfId="42" applyNumberFormat="1" applyFont="1" applyBorder="1" applyAlignment="1">
      <alignment horizontal="left"/>
    </xf>
    <xf numFmtId="172" fontId="9" fillId="0" borderId="0" xfId="42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 horizontal="center"/>
    </xf>
    <xf numFmtId="0" fontId="9" fillId="0" borderId="11" xfId="0" applyFont="1" applyBorder="1" applyAlignment="1" quotePrefix="1">
      <alignment horizontal="left"/>
    </xf>
    <xf numFmtId="169" fontId="0" fillId="0" borderId="0" xfId="42" applyNumberFormat="1" applyFont="1" applyAlignment="1">
      <alignment horizontal="center"/>
    </xf>
    <xf numFmtId="169" fontId="0" fillId="0" borderId="0" xfId="42" applyNumberFormat="1" applyFont="1" applyBorder="1" applyAlignment="1">
      <alignment horizontal="center"/>
    </xf>
    <xf numFmtId="169" fontId="5" fillId="0" borderId="11" xfId="42" applyNumberFormat="1" applyFont="1" applyBorder="1" applyAlignment="1">
      <alignment horizontal="center"/>
    </xf>
    <xf numFmtId="169" fontId="5" fillId="0" borderId="0" xfId="42" applyNumberFormat="1" applyFont="1" applyAlignment="1">
      <alignment horizontal="center"/>
    </xf>
    <xf numFmtId="190" fontId="5" fillId="0" borderId="0" xfId="42" applyNumberFormat="1" applyFont="1" applyAlignment="1">
      <alignment horizontal="center"/>
    </xf>
    <xf numFmtId="190" fontId="5" fillId="0" borderId="0" xfId="42" applyNumberFormat="1" applyFont="1" applyBorder="1" applyAlignment="1">
      <alignment horizontal="center"/>
    </xf>
    <xf numFmtId="190" fontId="0" fillId="0" borderId="0" xfId="42" applyNumberFormat="1" applyFont="1" applyAlignment="1">
      <alignment horizontal="center"/>
    </xf>
    <xf numFmtId="190" fontId="0" fillId="0" borderId="0" xfId="0" applyNumberFormat="1" applyFont="1" applyAlignment="1">
      <alignment horizontal="center"/>
    </xf>
    <xf numFmtId="190" fontId="0" fillId="0" borderId="0" xfId="42" applyNumberFormat="1" applyFont="1" applyBorder="1" applyAlignment="1">
      <alignment horizontal="center"/>
    </xf>
    <xf numFmtId="172" fontId="9" fillId="0" borderId="11" xfId="42" applyNumberFormat="1" applyFont="1" applyBorder="1" applyAlignment="1">
      <alignment/>
    </xf>
    <xf numFmtId="0" fontId="0" fillId="0" borderId="11" xfId="0" applyFont="1" applyBorder="1" applyAlignment="1">
      <alignment/>
    </xf>
    <xf numFmtId="172" fontId="8" fillId="0" borderId="11" xfId="42" applyNumberFormat="1" applyFont="1" applyBorder="1" applyAlignment="1">
      <alignment/>
    </xf>
    <xf numFmtId="190" fontId="0" fillId="0" borderId="0" xfId="42" applyNumberFormat="1" applyFont="1" applyAlignment="1">
      <alignment horizontal="center"/>
    </xf>
    <xf numFmtId="190" fontId="5" fillId="0" borderId="11" xfId="42" applyNumberFormat="1" applyFont="1" applyBorder="1" applyAlignment="1">
      <alignment horizontal="center"/>
    </xf>
    <xf numFmtId="190" fontId="5" fillId="0" borderId="11" xfId="42" applyNumberFormat="1" applyFont="1" applyBorder="1" applyAlignment="1">
      <alignment horizontal="center"/>
    </xf>
    <xf numFmtId="190" fontId="0" fillId="0" borderId="0" xfId="44" applyNumberFormat="1" applyFont="1" applyAlignment="1">
      <alignment horizontal="center"/>
    </xf>
    <xf numFmtId="190" fontId="5" fillId="0" borderId="0" xfId="44" applyNumberFormat="1" applyFont="1" applyAlignment="1">
      <alignment horizontal="center"/>
    </xf>
    <xf numFmtId="190" fontId="0" fillId="0" borderId="11" xfId="42" applyNumberFormat="1" applyFont="1" applyBorder="1" applyAlignment="1">
      <alignment horizontal="center"/>
    </xf>
    <xf numFmtId="190" fontId="5" fillId="0" borderId="11" xfId="0" applyNumberFormat="1" applyFont="1" applyBorder="1" applyAlignment="1">
      <alignment horizontal="center"/>
    </xf>
    <xf numFmtId="190" fontId="5" fillId="0" borderId="0" xfId="42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190" fontId="0" fillId="0" borderId="12" xfId="42" applyNumberFormat="1" applyFont="1" applyBorder="1" applyAlignment="1">
      <alignment horizontal="center"/>
    </xf>
    <xf numFmtId="0" fontId="0" fillId="0" borderId="0" xfId="0" applyBorder="1" applyAlignment="1">
      <alignment/>
    </xf>
    <xf numFmtId="172" fontId="9" fillId="0" borderId="11" xfId="42" applyNumberFormat="1" applyFont="1" applyBorder="1" applyAlignment="1">
      <alignment/>
    </xf>
    <xf numFmtId="3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90" fontId="5" fillId="0" borderId="0" xfId="0" applyNumberFormat="1" applyFont="1" applyAlignment="1">
      <alignment horizontal="center"/>
    </xf>
    <xf numFmtId="190" fontId="0" fillId="0" borderId="10" xfId="42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73" fontId="9" fillId="0" borderId="0" xfId="57" applyNumberFormat="1" applyFont="1" applyBorder="1" applyAlignment="1">
      <alignment/>
    </xf>
    <xf numFmtId="190" fontId="5" fillId="0" borderId="0" xfId="44" applyNumberFormat="1" applyFont="1" applyBorder="1" applyAlignment="1">
      <alignment horizontal="center"/>
    </xf>
    <xf numFmtId="190" fontId="5" fillId="0" borderId="0" xfId="44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173" fontId="7" fillId="0" borderId="0" xfId="57" applyNumberFormat="1" applyFont="1" applyAlignment="1">
      <alignment horizontal="center"/>
    </xf>
    <xf numFmtId="190" fontId="0" fillId="0" borderId="0" xfId="0" applyNumberFormat="1" applyFont="1" applyAlignment="1">
      <alignment horizontal="center"/>
    </xf>
    <xf numFmtId="38" fontId="5" fillId="0" borderId="11" xfId="42" applyNumberFormat="1" applyFont="1" applyBorder="1" applyAlignment="1">
      <alignment horizontal="center"/>
    </xf>
    <xf numFmtId="38" fontId="5" fillId="0" borderId="12" xfId="42" applyNumberFormat="1" applyFont="1" applyBorder="1" applyAlignment="1">
      <alignment horizontal="center"/>
    </xf>
    <xf numFmtId="173" fontId="0" fillId="0" borderId="0" xfId="42" applyNumberFormat="1" applyFont="1" applyAlignment="1">
      <alignment horizontal="center"/>
    </xf>
    <xf numFmtId="0" fontId="0" fillId="0" borderId="0" xfId="0" applyFont="1" applyAlignment="1">
      <alignment/>
    </xf>
    <xf numFmtId="172" fontId="9" fillId="0" borderId="12" xfId="42" applyNumberFormat="1" applyFont="1" applyBorder="1" applyAlignment="1">
      <alignment/>
    </xf>
    <xf numFmtId="172" fontId="9" fillId="0" borderId="12" xfId="42" applyNumberFormat="1" applyFont="1" applyBorder="1" applyAlignment="1">
      <alignment/>
    </xf>
    <xf numFmtId="190" fontId="5" fillId="0" borderId="12" xfId="42" applyNumberFormat="1" applyFont="1" applyBorder="1" applyAlignment="1">
      <alignment horizontal="center"/>
    </xf>
    <xf numFmtId="0" fontId="0" fillId="0" borderId="12" xfId="0" applyBorder="1" applyAlignment="1">
      <alignment/>
    </xf>
    <xf numFmtId="9" fontId="0" fillId="0" borderId="0" xfId="57" applyFont="1" applyAlignment="1">
      <alignment/>
    </xf>
    <xf numFmtId="193" fontId="0" fillId="0" borderId="0" xfId="0" applyNumberFormat="1" applyFont="1" applyAlignment="1">
      <alignment horizontal="center"/>
    </xf>
    <xf numFmtId="172" fontId="8" fillId="0" borderId="0" xfId="42" applyNumberFormat="1" applyFont="1" applyAlignment="1">
      <alignment/>
    </xf>
    <xf numFmtId="172" fontId="5" fillId="0" borderId="0" xfId="42" applyNumberFormat="1" applyFont="1" applyAlignment="1">
      <alignment/>
    </xf>
    <xf numFmtId="9" fontId="0" fillId="0" borderId="0" xfId="57" applyFont="1" applyAlignment="1">
      <alignment horizontal="center"/>
    </xf>
    <xf numFmtId="172" fontId="7" fillId="0" borderId="0" xfId="42" applyNumberFormat="1" applyFont="1" applyAlignment="1">
      <alignment horizontal="left"/>
    </xf>
    <xf numFmtId="172" fontId="9" fillId="0" borderId="11" xfId="42" applyNumberFormat="1" applyFont="1" applyBorder="1" applyAlignment="1" quotePrefix="1">
      <alignment horizontal="left"/>
    </xf>
    <xf numFmtId="173" fontId="7" fillId="0" borderId="0" xfId="57" applyNumberFormat="1" applyFont="1" applyAlignment="1">
      <alignment/>
    </xf>
    <xf numFmtId="173" fontId="0" fillId="0" borderId="0" xfId="57" applyNumberFormat="1" applyFont="1" applyAlignment="1">
      <alignment horizontal="center"/>
    </xf>
    <xf numFmtId="173" fontId="9" fillId="0" borderId="0" xfId="57" applyNumberFormat="1" applyFont="1" applyAlignment="1">
      <alignment/>
    </xf>
    <xf numFmtId="10" fontId="0" fillId="0" borderId="0" xfId="42" applyNumberFormat="1" applyFont="1" applyAlignment="1">
      <alignment horizontal="center"/>
    </xf>
    <xf numFmtId="172" fontId="7" fillId="0" borderId="0" xfId="42" applyNumberFormat="1" applyFont="1" applyAlignment="1" quotePrefix="1">
      <alignment horizontal="left"/>
    </xf>
    <xf numFmtId="0" fontId="9" fillId="0" borderId="0" xfId="0" applyFont="1" applyAlignment="1">
      <alignment horizontal="left"/>
    </xf>
    <xf numFmtId="38" fontId="0" fillId="0" borderId="0" xfId="42" applyNumberFormat="1" applyFont="1" applyAlignment="1">
      <alignment/>
    </xf>
    <xf numFmtId="193" fontId="0" fillId="0" borderId="0" xfId="0" applyNumberFormat="1" applyFont="1" applyAlignment="1">
      <alignment horizontal="center"/>
    </xf>
    <xf numFmtId="172" fontId="8" fillId="0" borderId="0" xfId="42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2" fontId="8" fillId="0" borderId="10" xfId="42" applyNumberFormat="1" applyFont="1" applyBorder="1" applyAlignment="1">
      <alignment/>
    </xf>
    <xf numFmtId="172" fontId="9" fillId="0" borderId="0" xfId="42" applyNumberFormat="1" applyFont="1" applyBorder="1" applyAlignment="1">
      <alignment/>
    </xf>
    <xf numFmtId="172" fontId="8" fillId="0" borderId="12" xfId="42" applyNumberFormat="1" applyFont="1" applyBorder="1" applyAlignment="1">
      <alignment/>
    </xf>
    <xf numFmtId="172" fontId="7" fillId="0" borderId="10" xfId="42" applyNumberFormat="1" applyFont="1" applyBorder="1" applyAlignment="1">
      <alignment/>
    </xf>
    <xf numFmtId="17" fontId="5" fillId="0" borderId="10" xfId="0" applyNumberFormat="1" applyFont="1" applyBorder="1" applyAlignment="1">
      <alignment horizontal="center"/>
    </xf>
    <xf numFmtId="193" fontId="0" fillId="0" borderId="0" xfId="42" applyNumberFormat="1" applyFont="1" applyAlignment="1">
      <alignment horizontal="center"/>
    </xf>
    <xf numFmtId="193" fontId="0" fillId="0" borderId="0" xfId="42" applyNumberFormat="1" applyFont="1" applyBorder="1" applyAlignment="1">
      <alignment horizontal="center"/>
    </xf>
    <xf numFmtId="193" fontId="0" fillId="0" borderId="0" xfId="42" applyNumberFormat="1" applyFont="1" applyAlignment="1">
      <alignment horizontal="center"/>
    </xf>
    <xf numFmtId="193" fontId="0" fillId="0" borderId="0" xfId="44" applyNumberFormat="1" applyFont="1" applyAlignment="1">
      <alignment horizontal="center"/>
    </xf>
    <xf numFmtId="193" fontId="0" fillId="0" borderId="0" xfId="0" applyNumberFormat="1" applyFont="1" applyBorder="1" applyAlignment="1">
      <alignment horizontal="center"/>
    </xf>
    <xf numFmtId="193" fontId="0" fillId="0" borderId="0" xfId="42" applyNumberFormat="1" applyFont="1" applyBorder="1" applyAlignment="1">
      <alignment horizontal="center"/>
    </xf>
    <xf numFmtId="193" fontId="5" fillId="0" borderId="0" xfId="42" applyNumberFormat="1" applyFont="1" applyBorder="1" applyAlignment="1">
      <alignment horizontal="center"/>
    </xf>
    <xf numFmtId="193" fontId="5" fillId="0" borderId="12" xfId="42" applyNumberFormat="1" applyFont="1" applyBorder="1" applyAlignment="1">
      <alignment horizontal="center"/>
    </xf>
    <xf numFmtId="193" fontId="5" fillId="0" borderId="11" xfId="42" applyNumberFormat="1" applyFont="1" applyBorder="1" applyAlignment="1">
      <alignment horizontal="center"/>
    </xf>
    <xf numFmtId="193" fontId="5" fillId="0" borderId="11" xfId="42" applyNumberFormat="1" applyFont="1" applyBorder="1" applyAlignment="1">
      <alignment horizontal="center"/>
    </xf>
    <xf numFmtId="193" fontId="0" fillId="0" borderId="11" xfId="42" applyNumberFormat="1" applyFont="1" applyBorder="1" applyAlignment="1">
      <alignment horizontal="center"/>
    </xf>
    <xf numFmtId="194" fontId="0" fillId="0" borderId="0" xfId="57" applyNumberFormat="1" applyFont="1" applyAlignment="1">
      <alignment horizontal="center"/>
    </xf>
    <xf numFmtId="194" fontId="0" fillId="0" borderId="0" xfId="57" applyNumberFormat="1" applyFont="1" applyAlignment="1">
      <alignment horizontal="center"/>
    </xf>
    <xf numFmtId="194" fontId="7" fillId="0" borderId="0" xfId="57" applyNumberFormat="1" applyFont="1" applyAlignment="1">
      <alignment horizontal="center"/>
    </xf>
    <xf numFmtId="194" fontId="0" fillId="0" borderId="0" xfId="42" applyNumberFormat="1" applyFont="1" applyAlignment="1">
      <alignment horizontal="center"/>
    </xf>
    <xf numFmtId="195" fontId="0" fillId="0" borderId="0" xfId="57" applyNumberFormat="1" applyFont="1" applyFill="1" applyBorder="1" applyAlignment="1">
      <alignment horizontal="center"/>
    </xf>
    <xf numFmtId="193" fontId="7" fillId="0" borderId="0" xfId="42" applyNumberFormat="1" applyFont="1" applyAlignment="1">
      <alignment horizontal="center"/>
    </xf>
    <xf numFmtId="37" fontId="5" fillId="0" borderId="0" xfId="42" applyNumberFormat="1" applyFont="1" applyAlignment="1">
      <alignment horizontal="center"/>
    </xf>
    <xf numFmtId="37" fontId="5" fillId="0" borderId="12" xfId="42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6" fillId="0" borderId="0" xfId="0" applyFont="1" applyBorder="1" applyAlignment="1">
      <alignment horizontal="right"/>
    </xf>
    <xf numFmtId="0" fontId="10" fillId="0" borderId="17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16" fillId="0" borderId="12" xfId="0" applyFont="1" applyBorder="1" applyAlignment="1">
      <alignment horizontal="right"/>
    </xf>
    <xf numFmtId="0" fontId="10" fillId="0" borderId="0" xfId="0" applyFont="1" applyAlignment="1" applyProtection="1">
      <alignment/>
      <protection locked="0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5" fontId="17" fillId="0" borderId="19" xfId="0" applyNumberFormat="1" applyFont="1" applyBorder="1" applyAlignment="1">
      <alignment/>
    </xf>
    <xf numFmtId="5" fontId="16" fillId="0" borderId="20" xfId="0" applyNumberFormat="1" applyFont="1" applyBorder="1" applyAlignment="1">
      <alignment/>
    </xf>
    <xf numFmtId="0" fontId="16" fillId="0" borderId="0" xfId="0" applyFont="1" applyAlignment="1">
      <alignment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6" fontId="16" fillId="0" borderId="23" xfId="0" applyNumberFormat="1" applyFont="1" applyBorder="1" applyAlignment="1">
      <alignment/>
    </xf>
    <xf numFmtId="6" fontId="16" fillId="0" borderId="0" xfId="0" applyNumberFormat="1" applyFont="1" applyBorder="1" applyAlignment="1">
      <alignment/>
    </xf>
    <xf numFmtId="6" fontId="16" fillId="0" borderId="22" xfId="0" applyNumberFormat="1" applyFont="1" applyBorder="1" applyAlignment="1">
      <alignment/>
    </xf>
    <xf numFmtId="6" fontId="16" fillId="0" borderId="24" xfId="0" applyNumberFormat="1" applyFont="1" applyBorder="1" applyAlignment="1">
      <alignment/>
    </xf>
    <xf numFmtId="6" fontId="16" fillId="0" borderId="25" xfId="0" applyNumberFormat="1" applyFont="1" applyBorder="1" applyAlignment="1">
      <alignment/>
    </xf>
    <xf numFmtId="5" fontId="16" fillId="0" borderId="25" xfId="0" applyNumberFormat="1" applyFont="1" applyBorder="1" applyAlignment="1">
      <alignment/>
    </xf>
    <xf numFmtId="6" fontId="10" fillId="0" borderId="26" xfId="0" applyNumberFormat="1" applyFont="1" applyBorder="1" applyAlignment="1">
      <alignment/>
    </xf>
    <xf numFmtId="6" fontId="10" fillId="0" borderId="27" xfId="0" applyNumberFormat="1" applyFont="1" applyBorder="1" applyAlignment="1">
      <alignment/>
    </xf>
    <xf numFmtId="6" fontId="16" fillId="0" borderId="19" xfId="0" applyNumberFormat="1" applyFont="1" applyBorder="1" applyAlignment="1">
      <alignment/>
    </xf>
    <xf numFmtId="6" fontId="16" fillId="0" borderId="28" xfId="0" applyNumberFormat="1" applyFont="1" applyBorder="1" applyAlignment="1">
      <alignment/>
    </xf>
    <xf numFmtId="5" fontId="16" fillId="0" borderId="29" xfId="0" applyNumberFormat="1" applyFont="1" applyBorder="1" applyAlignment="1">
      <alignment/>
    </xf>
    <xf numFmtId="10" fontId="16" fillId="0" borderId="29" xfId="0" applyNumberFormat="1" applyFont="1" applyBorder="1" applyAlignment="1">
      <alignment/>
    </xf>
    <xf numFmtId="5" fontId="16" fillId="0" borderId="18" xfId="0" applyNumberFormat="1" applyFont="1" applyBorder="1" applyAlignment="1">
      <alignment/>
    </xf>
    <xf numFmtId="0" fontId="0" fillId="33" borderId="0" xfId="0" applyFill="1" applyAlignment="1">
      <alignment/>
    </xf>
    <xf numFmtId="190" fontId="7" fillId="0" borderId="0" xfId="42" applyNumberFormat="1" applyFont="1" applyFill="1" applyAlignment="1">
      <alignment horizontal="center"/>
    </xf>
    <xf numFmtId="190" fontId="7" fillId="0" borderId="0" xfId="42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73" fontId="8" fillId="0" borderId="0" xfId="57" applyNumberFormat="1" applyFont="1" applyBorder="1" applyAlignment="1">
      <alignment/>
    </xf>
    <xf numFmtId="0" fontId="5" fillId="0" borderId="0" xfId="0" applyFont="1" applyBorder="1" applyAlignment="1">
      <alignment/>
    </xf>
    <xf numFmtId="172" fontId="6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left"/>
    </xf>
    <xf numFmtId="172" fontId="0" fillId="0" borderId="0" xfId="42" applyNumberFormat="1" applyFont="1" applyAlignment="1">
      <alignment horizontal="left"/>
    </xf>
    <xf numFmtId="0" fontId="0" fillId="0" borderId="0" xfId="0" applyFont="1" applyAlignment="1">
      <alignment/>
    </xf>
    <xf numFmtId="172" fontId="0" fillId="0" borderId="0" xfId="42" applyNumberFormat="1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7" fontId="0" fillId="0" borderId="0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5" fillId="0" borderId="12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38" fontId="5" fillId="0" borderId="0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190" fontId="0" fillId="0" borderId="10" xfId="0" applyNumberFormat="1" applyFont="1" applyBorder="1" applyAlignment="1">
      <alignment horizontal="center"/>
    </xf>
    <xf numFmtId="172" fontId="9" fillId="0" borderId="0" xfId="42" applyNumberFormat="1" applyFont="1" applyBorder="1" applyAlignment="1">
      <alignment/>
    </xf>
    <xf numFmtId="172" fontId="7" fillId="0" borderId="10" xfId="42" applyNumberFormat="1" applyFont="1" applyBorder="1" applyAlignment="1">
      <alignment/>
    </xf>
    <xf numFmtId="9" fontId="0" fillId="0" borderId="0" xfId="57" applyFont="1" applyFill="1" applyBorder="1" applyAlignment="1">
      <alignment/>
    </xf>
    <xf numFmtId="173" fontId="0" fillId="0" borderId="12" xfId="57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190" fontId="0" fillId="0" borderId="0" xfId="42" applyNumberFormat="1" applyFont="1" applyFill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8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8" fontId="0" fillId="34" borderId="0" xfId="42" applyNumberFormat="1" applyFont="1" applyFill="1" applyAlignment="1">
      <alignment horizontal="center"/>
    </xf>
    <xf numFmtId="190" fontId="0" fillId="34" borderId="0" xfId="0" applyNumberFormat="1" applyFont="1" applyFill="1" applyAlignment="1">
      <alignment horizontal="center"/>
    </xf>
    <xf numFmtId="190" fontId="0" fillId="34" borderId="0" xfId="0" applyNumberFormat="1" applyFont="1" applyFill="1" applyBorder="1" applyAlignment="1">
      <alignment horizontal="center"/>
    </xf>
    <xf numFmtId="190" fontId="0" fillId="34" borderId="0" xfId="42" applyNumberFormat="1" applyFont="1" applyFill="1" applyAlignment="1">
      <alignment horizontal="center"/>
    </xf>
    <xf numFmtId="190" fontId="5" fillId="34" borderId="0" xfId="0" applyNumberFormat="1" applyFont="1" applyFill="1" applyAlignment="1">
      <alignment horizontal="center"/>
    </xf>
    <xf numFmtId="169" fontId="0" fillId="34" borderId="0" xfId="0" applyNumberFormat="1" applyFont="1" applyFill="1" applyAlignment="1">
      <alignment horizontal="center"/>
    </xf>
    <xf numFmtId="169" fontId="0" fillId="34" borderId="0" xfId="0" applyNumberFormat="1" applyFont="1" applyFill="1" applyBorder="1" applyAlignment="1">
      <alignment horizontal="center"/>
    </xf>
    <xf numFmtId="190" fontId="0" fillId="34" borderId="10" xfId="42" applyNumberFormat="1" applyFont="1" applyFill="1" applyBorder="1" applyAlignment="1">
      <alignment horizontal="center"/>
    </xf>
    <xf numFmtId="190" fontId="7" fillId="34" borderId="0" xfId="42" applyNumberFormat="1" applyFont="1" applyFill="1" applyAlignment="1">
      <alignment horizontal="center"/>
    </xf>
    <xf numFmtId="0" fontId="7" fillId="34" borderId="0" xfId="42" applyNumberFormat="1" applyFont="1" applyFill="1" applyAlignment="1">
      <alignment horizontal="center"/>
    </xf>
    <xf numFmtId="190" fontId="7" fillId="34" borderId="0" xfId="42" applyNumberFormat="1" applyFont="1" applyFill="1" applyBorder="1" applyAlignment="1">
      <alignment horizontal="center"/>
    </xf>
    <xf numFmtId="190" fontId="0" fillId="34" borderId="0" xfId="42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69" fontId="0" fillId="34" borderId="0" xfId="42" applyNumberFormat="1" applyFont="1" applyFill="1" applyAlignment="1">
      <alignment horizontal="center"/>
    </xf>
    <xf numFmtId="169" fontId="0" fillId="34" borderId="0" xfId="42" applyNumberFormat="1" applyFont="1" applyFill="1" applyBorder="1" applyAlignment="1">
      <alignment horizontal="center"/>
    </xf>
    <xf numFmtId="191" fontId="0" fillId="34" borderId="12" xfId="57" applyNumberFormat="1" applyFont="1" applyFill="1" applyBorder="1" applyAlignment="1">
      <alignment horizontal="center"/>
    </xf>
    <xf numFmtId="8" fontId="7" fillId="34" borderId="0" xfId="44" applyFont="1" applyFill="1" applyAlignment="1">
      <alignment horizontal="center"/>
    </xf>
    <xf numFmtId="173" fontId="0" fillId="34" borderId="12" xfId="57" applyNumberFormat="1" applyFont="1" applyFill="1" applyBorder="1" applyAlignment="1">
      <alignment horizontal="center"/>
    </xf>
    <xf numFmtId="172" fontId="0" fillId="34" borderId="0" xfId="42" applyNumberFormat="1" applyFont="1" applyFill="1" applyAlignment="1">
      <alignment horizontal="center"/>
    </xf>
    <xf numFmtId="9" fontId="0" fillId="34" borderId="12" xfId="57" applyFont="1" applyFill="1" applyBorder="1" applyAlignment="1">
      <alignment/>
    </xf>
    <xf numFmtId="195" fontId="0" fillId="34" borderId="12" xfId="57" applyNumberFormat="1" applyFont="1" applyFill="1" applyBorder="1" applyAlignment="1">
      <alignment horizontal="center"/>
    </xf>
    <xf numFmtId="9" fontId="0" fillId="0" borderId="12" xfId="57" applyFon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38" fontId="0" fillId="34" borderId="0" xfId="0" applyNumberFormat="1" applyFill="1" applyAlignment="1">
      <alignment horizontal="center"/>
    </xf>
    <xf numFmtId="0" fontId="5" fillId="34" borderId="0" xfId="0" applyFont="1" applyFill="1" applyAlignment="1">
      <alignment/>
    </xf>
    <xf numFmtId="38" fontId="0" fillId="34" borderId="0" xfId="42" applyNumberFormat="1" applyFont="1" applyFill="1" applyAlignment="1">
      <alignment horizontal="center"/>
    </xf>
    <xf numFmtId="38" fontId="1" fillId="34" borderId="0" xfId="0" applyNumberFormat="1" applyFont="1" applyFill="1" applyAlignment="1">
      <alignment horizontal="center"/>
    </xf>
    <xf numFmtId="38" fontId="0" fillId="34" borderId="0" xfId="0" applyNumberFormat="1" applyFill="1" applyAlignment="1">
      <alignment/>
    </xf>
    <xf numFmtId="38" fontId="0" fillId="34" borderId="0" xfId="42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Alignment="1">
      <alignment/>
    </xf>
    <xf numFmtId="38" fontId="1" fillId="0" borderId="0" xfId="0" applyNumberFormat="1" applyFont="1" applyFill="1" applyAlignment="1">
      <alignment horizontal="center"/>
    </xf>
    <xf numFmtId="38" fontId="1" fillId="0" borderId="0" xfId="42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8" fontId="0" fillId="0" borderId="11" xfId="42" applyNumberFormat="1" applyFont="1" applyFill="1" applyBorder="1" applyAlignment="1">
      <alignment horizontal="center"/>
    </xf>
    <xf numFmtId="38" fontId="0" fillId="0" borderId="0" xfId="42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9" fontId="0" fillId="34" borderId="12" xfId="57" applyFont="1" applyFill="1" applyBorder="1" applyAlignment="1">
      <alignment/>
    </xf>
    <xf numFmtId="9" fontId="0" fillId="0" borderId="12" xfId="57" applyFont="1" applyFill="1" applyBorder="1" applyAlignment="1">
      <alignment/>
    </xf>
    <xf numFmtId="9" fontId="0" fillId="0" borderId="0" xfId="57" applyFont="1" applyAlignment="1">
      <alignment/>
    </xf>
    <xf numFmtId="38" fontId="0" fillId="0" borderId="0" xfId="42" applyNumberFormat="1" applyFont="1" applyFill="1" applyAlignment="1">
      <alignment horizontal="center"/>
    </xf>
    <xf numFmtId="38" fontId="0" fillId="34" borderId="0" xfId="42" applyNumberFormat="1" applyFont="1" applyFill="1" applyAlignment="1">
      <alignment horizontal="center"/>
    </xf>
    <xf numFmtId="38" fontId="0" fillId="0" borderId="11" xfId="42" applyNumberFormat="1" applyFont="1" applyFill="1" applyBorder="1" applyAlignment="1">
      <alignment horizontal="center"/>
    </xf>
    <xf numFmtId="38" fontId="0" fillId="34" borderId="0" xfId="42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37" fontId="0" fillId="34" borderId="0" xfId="42" applyNumberFormat="1" applyFont="1" applyFill="1" applyAlignment="1">
      <alignment/>
    </xf>
    <xf numFmtId="37" fontId="0" fillId="34" borderId="0" xfId="0" applyNumberFormat="1" applyFont="1" applyFill="1" applyAlignment="1">
      <alignment/>
    </xf>
    <xf numFmtId="37" fontId="0" fillId="34" borderId="0" xfId="0" applyNumberFormat="1" applyFont="1" applyFill="1" applyBorder="1" applyAlignment="1">
      <alignment/>
    </xf>
    <xf numFmtId="37" fontId="0" fillId="34" borderId="0" xfId="0" applyNumberFormat="1" applyFont="1" applyFill="1" applyAlignment="1">
      <alignment/>
    </xf>
    <xf numFmtId="37" fontId="5" fillId="34" borderId="0" xfId="0" applyNumberFormat="1" applyFont="1" applyFill="1" applyAlignment="1">
      <alignment/>
    </xf>
    <xf numFmtId="190" fontId="5" fillId="0" borderId="12" xfId="42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5" fillId="0" borderId="0" xfId="0" applyFont="1" applyAlignment="1">
      <alignment/>
    </xf>
    <xf numFmtId="172" fontId="5" fillId="0" borderId="10" xfId="42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172" fontId="9" fillId="0" borderId="10" xfId="42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35" borderId="34" xfId="0" applyFont="1" applyFill="1" applyBorder="1" applyAlignment="1">
      <alignment horizontal="center"/>
    </xf>
    <xf numFmtId="0" fontId="15" fillId="35" borderId="35" xfId="0" applyFont="1" applyFill="1" applyBorder="1" applyAlignment="1">
      <alignment horizontal="center"/>
    </xf>
    <xf numFmtId="0" fontId="15" fillId="35" borderId="3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A2" sqref="A2"/>
    </sheetView>
  </sheetViews>
  <sheetFormatPr defaultColWidth="9.33203125" defaultRowHeight="12.75"/>
  <cols>
    <col min="1" max="1" width="41.66015625" style="74" customWidth="1"/>
    <col min="2" max="2" width="5.33203125" style="49" bestFit="1" customWidth="1"/>
    <col min="3" max="16384" width="9.33203125" style="127" customWidth="1"/>
  </cols>
  <sheetData>
    <row r="1" ht="13.5" thickBot="1"/>
    <row r="2" spans="1:8" ht="20.25">
      <c r="A2" s="257" t="s">
        <v>43</v>
      </c>
      <c r="B2" s="254">
        <v>1</v>
      </c>
      <c r="C2" s="255" t="s">
        <v>192</v>
      </c>
      <c r="D2" s="255"/>
      <c r="E2" s="255"/>
      <c r="F2" s="255"/>
      <c r="G2" s="255"/>
      <c r="H2" s="255"/>
    </row>
    <row r="3" spans="1:3" s="255" customFormat="1" ht="15" customHeight="1" thickBot="1">
      <c r="A3" s="311" t="s">
        <v>223</v>
      </c>
      <c r="B3" s="254">
        <v>2</v>
      </c>
      <c r="C3" s="255" t="s">
        <v>193</v>
      </c>
    </row>
    <row r="4" spans="1:3" s="255" customFormat="1" ht="15" customHeight="1">
      <c r="A4" s="256"/>
      <c r="B4" s="254">
        <v>3</v>
      </c>
      <c r="C4" s="255" t="s">
        <v>194</v>
      </c>
    </row>
    <row r="5" spans="1:3" s="255" customFormat="1" ht="15" customHeight="1">
      <c r="A5" s="256"/>
      <c r="B5" s="254">
        <v>4</v>
      </c>
      <c r="C5" s="255" t="s">
        <v>196</v>
      </c>
    </row>
    <row r="6" spans="1:3" s="255" customFormat="1" ht="15" customHeight="1">
      <c r="A6" s="256"/>
      <c r="B6" s="254">
        <v>5</v>
      </c>
      <c r="C6" s="255" t="s">
        <v>224</v>
      </c>
    </row>
    <row r="7" ht="13.5" thickBot="1">
      <c r="A7" s="256"/>
    </row>
    <row r="8" spans="1:12" s="255" customFormat="1" ht="20.25">
      <c r="A8" s="257" t="s">
        <v>46</v>
      </c>
      <c r="B8" s="254">
        <v>1</v>
      </c>
      <c r="C8" s="127" t="s">
        <v>226</v>
      </c>
      <c r="D8" s="127"/>
      <c r="E8" s="127"/>
      <c r="F8" s="127"/>
      <c r="G8" s="127"/>
      <c r="H8" s="127"/>
      <c r="I8" s="127"/>
      <c r="J8" s="127"/>
      <c r="K8" s="127"/>
      <c r="L8" s="127"/>
    </row>
    <row r="9" spans="1:12" s="255" customFormat="1" ht="18.75" customHeight="1">
      <c r="A9" s="312" t="s">
        <v>225</v>
      </c>
      <c r="B9" s="254"/>
      <c r="C9" s="127" t="s">
        <v>227</v>
      </c>
      <c r="D9" s="127"/>
      <c r="E9" s="127"/>
      <c r="F9" s="127"/>
      <c r="G9" s="127"/>
      <c r="H9" s="127"/>
      <c r="I9" s="127"/>
      <c r="J9" s="127"/>
      <c r="K9" s="127"/>
      <c r="L9" s="127"/>
    </row>
    <row r="10" spans="1:3" ht="15" customHeight="1" thickBot="1">
      <c r="A10" s="258" t="s">
        <v>149</v>
      </c>
      <c r="B10" s="254">
        <v>2</v>
      </c>
      <c r="C10" s="127" t="s">
        <v>195</v>
      </c>
    </row>
    <row r="11" spans="1:2" ht="15" customHeight="1" thickBot="1">
      <c r="A11" s="148"/>
      <c r="B11" s="127"/>
    </row>
    <row r="12" spans="1:3" ht="20.25" customHeight="1">
      <c r="A12" s="257" t="s">
        <v>228</v>
      </c>
      <c r="B12" s="74">
        <v>1</v>
      </c>
      <c r="C12" s="127" t="s">
        <v>230</v>
      </c>
    </row>
    <row r="13" spans="1:3" ht="13.5" thickBot="1">
      <c r="A13" s="258" t="s">
        <v>229</v>
      </c>
      <c r="B13" s="74">
        <v>2</v>
      </c>
      <c r="C13" s="127" t="s">
        <v>231</v>
      </c>
    </row>
    <row r="14" ht="12.75">
      <c r="A14" s="148"/>
    </row>
    <row r="15" ht="13.5" thickBot="1"/>
    <row r="16" spans="1:3" ht="20.25">
      <c r="A16" s="257" t="s">
        <v>232</v>
      </c>
      <c r="B16" s="74">
        <v>1</v>
      </c>
      <c r="C16" s="127" t="s">
        <v>150</v>
      </c>
    </row>
    <row r="17" spans="1:3" ht="13.5" thickBot="1">
      <c r="A17" s="258" t="s">
        <v>233</v>
      </c>
      <c r="C17" s="127" t="s">
        <v>44</v>
      </c>
    </row>
    <row r="18" ht="12.75">
      <c r="C18" s="127" t="s">
        <v>45</v>
      </c>
    </row>
    <row r="19" spans="2:3" ht="12.75">
      <c r="B19" s="74">
        <v>2</v>
      </c>
      <c r="C19" s="127" t="s">
        <v>151</v>
      </c>
    </row>
    <row r="20" ht="13.5" thickBot="1"/>
    <row r="21" spans="1:3" ht="21" thickBot="1">
      <c r="A21" s="252" t="s">
        <v>234</v>
      </c>
      <c r="B21" s="74">
        <v>1</v>
      </c>
      <c r="C21" s="127" t="s">
        <v>235</v>
      </c>
    </row>
    <row r="22" ht="20.25">
      <c r="A22" s="253"/>
    </row>
    <row r="23" ht="13.5" thickBot="1"/>
    <row r="24" spans="1:3" ht="21" thickBot="1">
      <c r="A24" s="252" t="s">
        <v>47</v>
      </c>
      <c r="B24" s="74">
        <v>1</v>
      </c>
      <c r="C24" s="127" t="s">
        <v>236</v>
      </c>
    </row>
    <row r="25" ht="13.5" thickBot="1"/>
    <row r="26" spans="1:3" ht="21" thickBot="1">
      <c r="A26" s="252" t="s">
        <v>253</v>
      </c>
      <c r="B26" s="74">
        <v>1</v>
      </c>
      <c r="C26" s="127" t="s">
        <v>254</v>
      </c>
    </row>
  </sheetData>
  <sheetProtection/>
  <printOptions/>
  <pageMargins left="0.75" right="0.75" top="1" bottom="1" header="0.5" footer="0.5"/>
  <pageSetup orientation="landscape" r:id="rId1"/>
  <headerFooter alignWithMargins="0">
    <oddHeader>&amp;C&amp;"Times New Roman,Bold"&amp;16BEFORE STARTING MAKE A COPY OF THE EXCEL PROGRAM</oddHeader>
    <oddFooter>&amp;C&amp;"Times New Roman,Bold"&amp;18See Section 4.10 For Instructions on Excel Program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">
      <selection activeCell="M20" sqref="M20"/>
    </sheetView>
  </sheetViews>
  <sheetFormatPr defaultColWidth="9.33203125" defaultRowHeight="12.75"/>
  <cols>
    <col min="2" max="2" width="11" style="0" customWidth="1"/>
    <col min="3" max="3" width="13.33203125" style="0" customWidth="1"/>
    <col min="4" max="4" width="9.33203125" style="0" hidden="1" customWidth="1"/>
    <col min="5" max="5" width="13.33203125" style="0" customWidth="1"/>
    <col min="6" max="6" width="0.1640625" style="0" customWidth="1"/>
    <col min="7" max="7" width="13.33203125" style="0" customWidth="1"/>
    <col min="8" max="8" width="9.33203125" style="0" hidden="1" customWidth="1"/>
    <col min="9" max="9" width="13.16015625" style="0" customWidth="1"/>
    <col min="10" max="10" width="9.33203125" style="0" hidden="1" customWidth="1"/>
    <col min="11" max="11" width="13.33203125" style="0" customWidth="1"/>
  </cols>
  <sheetData>
    <row r="2" spans="3:11" ht="12.75">
      <c r="C2" s="49" t="s">
        <v>237</v>
      </c>
      <c r="D2" s="313"/>
      <c r="E2" s="49" t="s">
        <v>239</v>
      </c>
      <c r="F2" s="313"/>
      <c r="G2" s="313" t="s">
        <v>238</v>
      </c>
      <c r="H2" s="313"/>
      <c r="I2" s="313" t="s">
        <v>240</v>
      </c>
      <c r="J2" s="313"/>
      <c r="K2" s="313" t="s">
        <v>238</v>
      </c>
    </row>
    <row r="3" spans="3:11" ht="12.75">
      <c r="C3" s="49">
        <v>2000</v>
      </c>
      <c r="D3" s="313"/>
      <c r="E3" s="49">
        <v>2001</v>
      </c>
      <c r="F3" s="313"/>
      <c r="G3" s="49">
        <v>2002</v>
      </c>
      <c r="H3" s="313"/>
      <c r="I3" s="49">
        <v>2003</v>
      </c>
      <c r="J3" s="313"/>
      <c r="K3" s="49">
        <v>2004</v>
      </c>
    </row>
    <row r="5" spans="1:11" ht="12.75">
      <c r="A5" s="127" t="s">
        <v>15</v>
      </c>
      <c r="B5" s="313"/>
      <c r="C5" s="282"/>
      <c r="D5" s="282"/>
      <c r="E5" s="282"/>
      <c r="F5" s="282"/>
      <c r="G5" s="282"/>
      <c r="H5" s="282"/>
      <c r="I5" s="282"/>
      <c r="J5" s="282"/>
      <c r="K5" s="282"/>
    </row>
    <row r="6" spans="1:11" ht="12.75">
      <c r="A6" s="127" t="s">
        <v>25</v>
      </c>
      <c r="B6" s="313"/>
      <c r="C6" s="282"/>
      <c r="D6" s="282"/>
      <c r="E6" s="282"/>
      <c r="F6" s="282"/>
      <c r="G6" s="282"/>
      <c r="H6" s="282"/>
      <c r="I6" s="282"/>
      <c r="J6" s="282"/>
      <c r="K6" s="282"/>
    </row>
    <row r="7" spans="1:11" ht="12.75">
      <c r="A7" s="313" t="s">
        <v>241</v>
      </c>
      <c r="B7" s="313"/>
      <c r="C7" t="e">
        <f>C5/C6</f>
        <v>#DIV/0!</v>
      </c>
      <c r="E7" t="e">
        <f aca="true" t="shared" si="0" ref="E7:K7">E5/E6</f>
        <v>#DIV/0!</v>
      </c>
      <c r="F7" t="e">
        <f t="shared" si="0"/>
        <v>#DIV/0!</v>
      </c>
      <c r="G7" t="e">
        <f t="shared" si="0"/>
        <v>#DIV/0!</v>
      </c>
      <c r="H7" t="e">
        <f t="shared" si="0"/>
        <v>#DIV/0!</v>
      </c>
      <c r="I7" t="e">
        <f t="shared" si="0"/>
        <v>#DIV/0!</v>
      </c>
      <c r="J7" t="e">
        <f t="shared" si="0"/>
        <v>#DIV/0!</v>
      </c>
      <c r="K7" t="e">
        <f t="shared" si="0"/>
        <v>#DIV/0!</v>
      </c>
    </row>
    <row r="9" spans="1:11" ht="12.75">
      <c r="A9" s="127" t="s">
        <v>242</v>
      </c>
      <c r="C9" s="282"/>
      <c r="D9" s="282"/>
      <c r="E9" s="282"/>
      <c r="F9" s="282"/>
      <c r="G9" s="282"/>
      <c r="H9" s="282"/>
      <c r="I9" s="282"/>
      <c r="J9" s="282"/>
      <c r="K9" s="282"/>
    </row>
    <row r="10" spans="1:11" ht="12.75">
      <c r="A10" s="127" t="s">
        <v>23</v>
      </c>
      <c r="C10" s="282"/>
      <c r="D10" s="282"/>
      <c r="E10" s="282"/>
      <c r="F10" s="282"/>
      <c r="G10" s="282"/>
      <c r="H10" s="282"/>
      <c r="I10" s="282"/>
      <c r="J10" s="282"/>
      <c r="K10" s="282"/>
    </row>
    <row r="11" spans="1:11" ht="12.75">
      <c r="A11" s="313" t="s">
        <v>243</v>
      </c>
      <c r="C11" t="e">
        <f>C9/C10</f>
        <v>#DIV/0!</v>
      </c>
      <c r="E11" t="e">
        <f aca="true" t="shared" si="1" ref="E11:K11">E9/E10</f>
        <v>#DIV/0!</v>
      </c>
      <c r="F11" t="e">
        <f t="shared" si="1"/>
        <v>#DIV/0!</v>
      </c>
      <c r="G11" t="e">
        <f t="shared" si="1"/>
        <v>#DIV/0!</v>
      </c>
      <c r="H11" t="e">
        <f t="shared" si="1"/>
        <v>#DIV/0!</v>
      </c>
      <c r="I11" t="e">
        <f t="shared" si="1"/>
        <v>#DIV/0!</v>
      </c>
      <c r="J11" t="e">
        <f t="shared" si="1"/>
        <v>#DIV/0!</v>
      </c>
      <c r="K11" t="e">
        <f t="shared" si="1"/>
        <v>#DIV/0!</v>
      </c>
    </row>
    <row r="13" spans="1:11" ht="12.75">
      <c r="A13" s="127" t="s">
        <v>242</v>
      </c>
      <c r="C13" s="282"/>
      <c r="D13" s="282"/>
      <c r="E13" s="282"/>
      <c r="F13" s="282"/>
      <c r="G13" s="282"/>
      <c r="H13" s="282"/>
      <c r="I13" s="282"/>
      <c r="J13" s="282"/>
      <c r="K13" s="282"/>
    </row>
    <row r="14" spans="1:11" ht="12.75">
      <c r="A14" s="127" t="s">
        <v>244</v>
      </c>
      <c r="C14" s="282"/>
      <c r="D14" s="282"/>
      <c r="E14" s="282"/>
      <c r="F14" s="282"/>
      <c r="G14" s="282"/>
      <c r="H14" s="282"/>
      <c r="I14" s="282"/>
      <c r="J14" s="282"/>
      <c r="K14" s="282"/>
    </row>
    <row r="15" spans="1:11" ht="12.75">
      <c r="A15" s="313" t="s">
        <v>245</v>
      </c>
      <c r="C15" t="e">
        <f>C13/C14</f>
        <v>#DIV/0!</v>
      </c>
      <c r="E15" t="e">
        <f aca="true" t="shared" si="2" ref="E15:K15">E13/E14</f>
        <v>#DIV/0!</v>
      </c>
      <c r="F15" t="e">
        <f t="shared" si="2"/>
        <v>#DIV/0!</v>
      </c>
      <c r="G15" t="e">
        <f t="shared" si="2"/>
        <v>#DIV/0!</v>
      </c>
      <c r="H15" t="e">
        <f t="shared" si="2"/>
        <v>#DIV/0!</v>
      </c>
      <c r="I15" t="e">
        <f t="shared" si="2"/>
        <v>#DIV/0!</v>
      </c>
      <c r="J15" t="e">
        <f t="shared" si="2"/>
        <v>#DIV/0!</v>
      </c>
      <c r="K15" t="e">
        <f t="shared" si="2"/>
        <v>#DIV/0!</v>
      </c>
    </row>
    <row r="17" spans="1:11" ht="12.75">
      <c r="A17" s="127" t="s">
        <v>246</v>
      </c>
      <c r="C17" s="282"/>
      <c r="D17" s="282"/>
      <c r="E17" s="282"/>
      <c r="F17" s="282"/>
      <c r="G17" s="282"/>
      <c r="H17" s="282"/>
      <c r="I17" s="282"/>
      <c r="J17" s="282"/>
      <c r="K17" s="282"/>
    </row>
    <row r="18" ht="12.75">
      <c r="A18" s="127" t="s">
        <v>247</v>
      </c>
    </row>
    <row r="19" spans="1:11" ht="12.75">
      <c r="A19" s="127" t="s">
        <v>248</v>
      </c>
      <c r="C19" s="282"/>
      <c r="D19" s="282"/>
      <c r="E19" s="282"/>
      <c r="F19" s="282"/>
      <c r="G19" s="282"/>
      <c r="H19" s="282"/>
      <c r="I19" s="282"/>
      <c r="J19" s="282"/>
      <c r="K19" s="282"/>
    </row>
    <row r="20" spans="1:11" ht="12.75">
      <c r="A20" s="313" t="s">
        <v>249</v>
      </c>
      <c r="C20" t="e">
        <f>C17/C19</f>
        <v>#DIV/0!</v>
      </c>
      <c r="E20" t="e">
        <f aca="true" t="shared" si="3" ref="E20:K20">E17/E19</f>
        <v>#DIV/0!</v>
      </c>
      <c r="F20" t="e">
        <f t="shared" si="3"/>
        <v>#DIV/0!</v>
      </c>
      <c r="G20" t="e">
        <f t="shared" si="3"/>
        <v>#DIV/0!</v>
      </c>
      <c r="H20" t="e">
        <f t="shared" si="3"/>
        <v>#DIV/0!</v>
      </c>
      <c r="I20" t="e">
        <f t="shared" si="3"/>
        <v>#DIV/0!</v>
      </c>
      <c r="J20" t="e">
        <f t="shared" si="3"/>
        <v>#DIV/0!</v>
      </c>
      <c r="K20" t="e">
        <f t="shared" si="3"/>
        <v>#DIV/0!</v>
      </c>
    </row>
    <row r="22" spans="1:11" ht="12.75">
      <c r="A22" s="127" t="s">
        <v>246</v>
      </c>
      <c r="C22" s="282"/>
      <c r="D22" s="282"/>
      <c r="E22" s="282"/>
      <c r="F22" s="282"/>
      <c r="G22" s="282"/>
      <c r="H22" s="282"/>
      <c r="I22" s="282"/>
      <c r="J22" s="282"/>
      <c r="K22" s="282"/>
    </row>
    <row r="23" spans="1:11" ht="12.75">
      <c r="A23" s="127" t="s">
        <v>250</v>
      </c>
      <c r="C23" s="282"/>
      <c r="D23" s="282"/>
      <c r="E23" s="282"/>
      <c r="F23" s="282"/>
      <c r="G23" s="282"/>
      <c r="H23" s="282"/>
      <c r="I23" s="282"/>
      <c r="J23" s="282"/>
      <c r="K23" s="282"/>
    </row>
    <row r="24" spans="1:11" ht="12.75">
      <c r="A24" s="313" t="s">
        <v>251</v>
      </c>
      <c r="C24" t="e">
        <f>C22/C23</f>
        <v>#DIV/0!</v>
      </c>
      <c r="E24" t="e">
        <f aca="true" t="shared" si="4" ref="E24:K24">E22/E23</f>
        <v>#DIV/0!</v>
      </c>
      <c r="F24" t="e">
        <f t="shared" si="4"/>
        <v>#DIV/0!</v>
      </c>
      <c r="G24" t="e">
        <f t="shared" si="4"/>
        <v>#DIV/0!</v>
      </c>
      <c r="H24" t="e">
        <f t="shared" si="4"/>
        <v>#DIV/0!</v>
      </c>
      <c r="I24" t="e">
        <f t="shared" si="4"/>
        <v>#DIV/0!</v>
      </c>
      <c r="J24" t="e">
        <f t="shared" si="4"/>
        <v>#DIV/0!</v>
      </c>
      <c r="K24" t="e">
        <f t="shared" si="4"/>
        <v>#DIV/0!</v>
      </c>
    </row>
    <row r="26" spans="1:11" ht="12.75">
      <c r="A26" t="s">
        <v>246</v>
      </c>
      <c r="C26" s="282"/>
      <c r="D26" s="282"/>
      <c r="E26" s="282"/>
      <c r="F26" s="282"/>
      <c r="G26" s="282"/>
      <c r="H26" s="282"/>
      <c r="I26" s="282"/>
      <c r="J26" s="282"/>
      <c r="K26" s="282"/>
    </row>
    <row r="27" spans="1:11" ht="12.75">
      <c r="A27" t="s">
        <v>244</v>
      </c>
      <c r="C27" s="282"/>
      <c r="D27" s="282"/>
      <c r="E27" s="282"/>
      <c r="F27" s="282"/>
      <c r="G27" s="282"/>
      <c r="H27" s="282"/>
      <c r="I27" s="282"/>
      <c r="J27" s="282"/>
      <c r="K27" s="282"/>
    </row>
    <row r="28" spans="1:11" ht="12.75">
      <c r="A28" s="313" t="s">
        <v>252</v>
      </c>
      <c r="B28" s="313"/>
      <c r="C28" t="e">
        <f>C26/C27</f>
        <v>#DIV/0!</v>
      </c>
      <c r="E28" t="e">
        <f aca="true" t="shared" si="5" ref="E28:K28">E26/E27</f>
        <v>#DIV/0!</v>
      </c>
      <c r="F28" t="e">
        <f t="shared" si="5"/>
        <v>#DIV/0!</v>
      </c>
      <c r="G28" t="e">
        <f t="shared" si="5"/>
        <v>#DIV/0!</v>
      </c>
      <c r="H28" t="e">
        <f t="shared" si="5"/>
        <v>#DIV/0!</v>
      </c>
      <c r="I28" t="e">
        <f t="shared" si="5"/>
        <v>#DIV/0!</v>
      </c>
      <c r="J28" t="e">
        <f t="shared" si="5"/>
        <v>#DIV/0!</v>
      </c>
      <c r="K28" t="e">
        <f t="shared" si="5"/>
        <v>#DIV/0!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&amp;C&amp;"Times New Roman,Bold"&amp;11Acme Wilderness Resort Financial Analysis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5" width="14.83203125" style="0" customWidth="1"/>
  </cols>
  <sheetData>
    <row r="1" spans="1:5" ht="23.25" thickBot="1">
      <c r="A1" s="319" t="s">
        <v>184</v>
      </c>
      <c r="B1" s="320"/>
      <c r="C1" s="320"/>
      <c r="D1" s="320"/>
      <c r="E1" s="321"/>
    </row>
    <row r="2" spans="1:5" ht="16.5" thickBot="1">
      <c r="A2" s="173"/>
      <c r="B2" s="173"/>
      <c r="C2" s="173"/>
      <c r="D2" s="173"/>
      <c r="E2" s="173"/>
    </row>
    <row r="3" spans="1:5" ht="15.75">
      <c r="A3" s="174" t="s">
        <v>83</v>
      </c>
      <c r="B3" s="175"/>
      <c r="C3" s="175"/>
      <c r="D3" s="175"/>
      <c r="E3" s="176"/>
    </row>
    <row r="4" spans="1:5" ht="15.75">
      <c r="A4" s="177"/>
      <c r="B4" s="178"/>
      <c r="C4" s="110"/>
      <c r="D4" s="179" t="s">
        <v>171</v>
      </c>
      <c r="E4" s="207">
        <f>'Divrsfd -IS'!P39+'Divrsfd -IS'!P52+'Divrsfd -IS'!P60</f>
        <v>151024.085677</v>
      </c>
    </row>
    <row r="5" spans="1:5" ht="15.75">
      <c r="A5" s="177"/>
      <c r="B5" s="178"/>
      <c r="C5" s="110"/>
      <c r="D5" s="179" t="s">
        <v>172</v>
      </c>
      <c r="E5" s="208">
        <f>'Divrsfd -IS'!P30</f>
        <v>0.59622003466332</v>
      </c>
    </row>
    <row r="6" spans="1:5" ht="16.5" thickBot="1">
      <c r="A6" s="180"/>
      <c r="B6" s="181"/>
      <c r="C6" s="131"/>
      <c r="D6" s="182" t="s">
        <v>173</v>
      </c>
      <c r="E6" s="209">
        <v>15000</v>
      </c>
    </row>
    <row r="7" spans="1:5" ht="15.75">
      <c r="A7" s="173" t="s">
        <v>174</v>
      </c>
      <c r="B7" s="183"/>
      <c r="C7" s="183"/>
      <c r="D7" s="183"/>
      <c r="E7" s="183"/>
    </row>
    <row r="8" spans="1:5" ht="16.5" thickBot="1">
      <c r="A8" s="173"/>
      <c r="B8" s="183"/>
      <c r="C8" s="183"/>
      <c r="D8" s="183"/>
      <c r="E8" s="183"/>
    </row>
    <row r="9" spans="1:5" ht="15.75">
      <c r="A9" s="184"/>
      <c r="B9" s="185" t="s">
        <v>175</v>
      </c>
      <c r="C9" s="185" t="s">
        <v>176</v>
      </c>
      <c r="D9" s="185" t="s">
        <v>153</v>
      </c>
      <c r="E9" s="186" t="s">
        <v>177</v>
      </c>
    </row>
    <row r="10" spans="1:5" ht="16.5" thickBot="1">
      <c r="A10" s="187" t="s">
        <v>39</v>
      </c>
      <c r="B10" s="188" t="s">
        <v>178</v>
      </c>
      <c r="C10" s="188" t="s">
        <v>178</v>
      </c>
      <c r="D10" s="188" t="s">
        <v>178</v>
      </c>
      <c r="E10" s="189" t="s">
        <v>179</v>
      </c>
    </row>
    <row r="11" spans="1:5" ht="15.75">
      <c r="A11" s="190">
        <v>253302.60121547573</v>
      </c>
      <c r="B11" s="191">
        <f>Fixed_expenses</f>
        <v>151024.085677</v>
      </c>
      <c r="C11" s="191">
        <f>BE_Revenue*(1-Contribution_margin)</f>
        <v>102278.51553847568</v>
      </c>
      <c r="D11" s="191">
        <f>BE_Variable+BE_Fixed</f>
        <v>253302.60121547568</v>
      </c>
      <c r="E11" s="191">
        <f>BE_Revenue-BE_Total</f>
        <v>0</v>
      </c>
    </row>
    <row r="12" spans="1:5" ht="15.75">
      <c r="A12" s="192"/>
      <c r="B12" s="183"/>
      <c r="C12" s="183"/>
      <c r="D12" s="183"/>
      <c r="E12" s="183"/>
    </row>
    <row r="13" spans="1:5" ht="15.75">
      <c r="A13" s="173" t="s">
        <v>180</v>
      </c>
      <c r="B13" s="183"/>
      <c r="C13" s="183"/>
      <c r="D13" s="183"/>
      <c r="E13" s="183"/>
    </row>
    <row r="14" spans="1:5" ht="15.75">
      <c r="A14" s="173"/>
      <c r="B14" s="183"/>
      <c r="C14" s="183"/>
      <c r="D14" s="183"/>
      <c r="E14" s="183"/>
    </row>
    <row r="15" spans="1:5" ht="15.75">
      <c r="A15" s="193"/>
      <c r="B15" s="194" t="s">
        <v>181</v>
      </c>
      <c r="C15" s="194" t="s">
        <v>181</v>
      </c>
      <c r="D15" s="194" t="s">
        <v>182</v>
      </c>
      <c r="E15" s="194"/>
    </row>
    <row r="16" spans="1:5" ht="15.75">
      <c r="A16" s="195" t="s">
        <v>39</v>
      </c>
      <c r="B16" s="196" t="s">
        <v>175</v>
      </c>
      <c r="C16" s="196" t="s">
        <v>176</v>
      </c>
      <c r="D16" s="196" t="s">
        <v>153</v>
      </c>
      <c r="E16" s="196" t="s">
        <v>183</v>
      </c>
    </row>
    <row r="17" spans="1:5" ht="15.75">
      <c r="A17" s="197">
        <f aca="true" t="shared" si="0" ref="A17:A28">A18-Revenue_increments</f>
        <v>73302.60121547573</v>
      </c>
      <c r="B17" s="198">
        <f>B11</f>
        <v>151024.085677</v>
      </c>
      <c r="C17" s="197">
        <f aca="true" t="shared" si="1" ref="C17:C28">Table_Revenue*(1-Contribution_margin)</f>
        <v>29598.12177787327</v>
      </c>
      <c r="D17" s="199">
        <f aca="true" t="shared" si="2" ref="D17:D28">Table_Variable+Table_Fixed</f>
        <v>180622.20745487328</v>
      </c>
      <c r="E17" s="199">
        <f aca="true" t="shared" si="3" ref="E17:E28">Table_Revenue-Table_total</f>
        <v>-107319.60623939754</v>
      </c>
    </row>
    <row r="18" spans="1:5" ht="15.75">
      <c r="A18" s="197">
        <f t="shared" si="0"/>
        <v>88302.60121547573</v>
      </c>
      <c r="B18" s="198">
        <f>B11</f>
        <v>151024.085677</v>
      </c>
      <c r="C18" s="197">
        <f t="shared" si="1"/>
        <v>35654.821257923475</v>
      </c>
      <c r="D18" s="200">
        <f t="shared" si="2"/>
        <v>186678.90693492346</v>
      </c>
      <c r="E18" s="200">
        <f t="shared" si="3"/>
        <v>-98376.30571944773</v>
      </c>
    </row>
    <row r="19" spans="1:5" ht="15.75">
      <c r="A19" s="197">
        <f t="shared" si="0"/>
        <v>103302.60121547573</v>
      </c>
      <c r="B19" s="198">
        <f>B11</f>
        <v>151024.085677</v>
      </c>
      <c r="C19" s="197">
        <f t="shared" si="1"/>
        <v>41711.520737973675</v>
      </c>
      <c r="D19" s="200">
        <f t="shared" si="2"/>
        <v>192735.60641497368</v>
      </c>
      <c r="E19" s="200">
        <f t="shared" si="3"/>
        <v>-89433.00519949794</v>
      </c>
    </row>
    <row r="20" spans="1:5" ht="15.75">
      <c r="A20" s="197">
        <f t="shared" si="0"/>
        <v>118302.60121547573</v>
      </c>
      <c r="B20" s="200">
        <f aca="true" t="shared" si="4" ref="B20:B26">Fixed_expenses</f>
        <v>151024.085677</v>
      </c>
      <c r="C20" s="197">
        <f t="shared" si="1"/>
        <v>47768.220218023875</v>
      </c>
      <c r="D20" s="200">
        <f t="shared" si="2"/>
        <v>198792.30589502386</v>
      </c>
      <c r="E20" s="200">
        <f t="shared" si="3"/>
        <v>-80489.70467954813</v>
      </c>
    </row>
    <row r="21" spans="1:5" ht="15.75">
      <c r="A21" s="197">
        <f t="shared" si="0"/>
        <v>133302.60121547573</v>
      </c>
      <c r="B21" s="200">
        <f t="shared" si="4"/>
        <v>151024.085677</v>
      </c>
      <c r="C21" s="197">
        <f t="shared" si="1"/>
        <v>53824.919698074074</v>
      </c>
      <c r="D21" s="200">
        <f t="shared" si="2"/>
        <v>204849.00537507408</v>
      </c>
      <c r="E21" s="200">
        <f t="shared" si="3"/>
        <v>-71546.40415959834</v>
      </c>
    </row>
    <row r="22" spans="1:5" ht="15.75">
      <c r="A22" s="197">
        <f t="shared" si="0"/>
        <v>148302.60121547573</v>
      </c>
      <c r="B22" s="200">
        <f t="shared" si="4"/>
        <v>151024.085677</v>
      </c>
      <c r="C22" s="197">
        <f t="shared" si="1"/>
        <v>59881.619178124274</v>
      </c>
      <c r="D22" s="200">
        <f t="shared" si="2"/>
        <v>210905.70485512426</v>
      </c>
      <c r="E22" s="200">
        <f t="shared" si="3"/>
        <v>-62603.10363964853</v>
      </c>
    </row>
    <row r="23" spans="1:5" ht="15.75">
      <c r="A23" s="197">
        <f t="shared" si="0"/>
        <v>163302.60121547573</v>
      </c>
      <c r="B23" s="200">
        <f t="shared" si="4"/>
        <v>151024.085677</v>
      </c>
      <c r="C23" s="197">
        <f t="shared" si="1"/>
        <v>65938.31865817448</v>
      </c>
      <c r="D23" s="200">
        <f t="shared" si="2"/>
        <v>216962.40433517448</v>
      </c>
      <c r="E23" s="200">
        <f t="shared" si="3"/>
        <v>-53659.80311969874</v>
      </c>
    </row>
    <row r="24" spans="1:5" ht="15.75">
      <c r="A24" s="197">
        <f t="shared" si="0"/>
        <v>178302.60121547573</v>
      </c>
      <c r="B24" s="200">
        <f t="shared" si="4"/>
        <v>151024.085677</v>
      </c>
      <c r="C24" s="197">
        <f t="shared" si="1"/>
        <v>71995.01813822468</v>
      </c>
      <c r="D24" s="200">
        <f t="shared" si="2"/>
        <v>223019.10381522466</v>
      </c>
      <c r="E24" s="200">
        <f t="shared" si="3"/>
        <v>-44716.50259974893</v>
      </c>
    </row>
    <row r="25" spans="1:5" ht="15.75">
      <c r="A25" s="197">
        <f t="shared" si="0"/>
        <v>193302.60121547573</v>
      </c>
      <c r="B25" s="200">
        <f t="shared" si="4"/>
        <v>151024.085677</v>
      </c>
      <c r="C25" s="197">
        <f t="shared" si="1"/>
        <v>78051.71761827488</v>
      </c>
      <c r="D25" s="200">
        <f t="shared" si="2"/>
        <v>229075.80329527488</v>
      </c>
      <c r="E25" s="200">
        <f t="shared" si="3"/>
        <v>-35773.20207979914</v>
      </c>
    </row>
    <row r="26" spans="1:5" ht="15.75">
      <c r="A26" s="197">
        <f t="shared" si="0"/>
        <v>208302.60121547573</v>
      </c>
      <c r="B26" s="201">
        <f t="shared" si="4"/>
        <v>151024.085677</v>
      </c>
      <c r="C26" s="197">
        <f t="shared" si="1"/>
        <v>84108.41709832508</v>
      </c>
      <c r="D26" s="201">
        <f t="shared" si="2"/>
        <v>235132.5027753251</v>
      </c>
      <c r="E26" s="197">
        <f t="shared" si="3"/>
        <v>-26829.901559849357</v>
      </c>
    </row>
    <row r="27" spans="1:5" ht="15.75">
      <c r="A27" s="197">
        <f t="shared" si="0"/>
        <v>223302.60121547573</v>
      </c>
      <c r="B27" s="202">
        <f>BE_Fixed</f>
        <v>151024.085677</v>
      </c>
      <c r="C27" s="197">
        <f t="shared" si="1"/>
        <v>90165.11657837528</v>
      </c>
      <c r="D27" s="201">
        <f t="shared" si="2"/>
        <v>241189.20225537528</v>
      </c>
      <c r="E27" s="197">
        <f t="shared" si="3"/>
        <v>-17886.601039899542</v>
      </c>
    </row>
    <row r="28" spans="1:5" ht="15.75">
      <c r="A28" s="197">
        <f t="shared" si="0"/>
        <v>238302.60121547573</v>
      </c>
      <c r="B28" s="200">
        <f>Fixed_expenses</f>
        <v>151024.085677</v>
      </c>
      <c r="C28" s="197">
        <f t="shared" si="1"/>
        <v>96221.81605842548</v>
      </c>
      <c r="D28" s="200">
        <f t="shared" si="2"/>
        <v>247245.90173542546</v>
      </c>
      <c r="E28" s="200">
        <f t="shared" si="3"/>
        <v>-8943.300519949727</v>
      </c>
    </row>
    <row r="29" spans="1:5" ht="15.75">
      <c r="A29" s="203">
        <f>A11</f>
        <v>253302.60121547573</v>
      </c>
      <c r="B29" s="204">
        <f>B11</f>
        <v>151024.085677</v>
      </c>
      <c r="C29" s="204">
        <f>C11</f>
        <v>102278.51553847568</v>
      </c>
      <c r="D29" s="204">
        <f>D11</f>
        <v>253302.60121547568</v>
      </c>
      <c r="E29" s="204">
        <f>E11</f>
        <v>0</v>
      </c>
    </row>
    <row r="30" spans="1:5" ht="15.75">
      <c r="A30" s="197">
        <f aca="true" t="shared" si="5" ref="A30:A41">A29+Revenue_increments</f>
        <v>268302.6012154757</v>
      </c>
      <c r="B30" s="200">
        <f aca="true" t="shared" si="6" ref="B30:B41">Fixed_expenses</f>
        <v>151024.085677</v>
      </c>
      <c r="C30" s="200">
        <f aca="true" t="shared" si="7" ref="C30:C38">Table_Revenue*(1-Contribution_margin)</f>
        <v>108335.21501852587</v>
      </c>
      <c r="D30" s="200">
        <f aca="true" t="shared" si="8" ref="D30:D38">Table_Variable+Table_Fixed</f>
        <v>259359.30069552586</v>
      </c>
      <c r="E30" s="200">
        <f aca="true" t="shared" si="9" ref="E30:E38">Table_Revenue-Table_total</f>
        <v>8943.300519949844</v>
      </c>
    </row>
    <row r="31" spans="1:5" ht="15.75">
      <c r="A31" s="197">
        <f t="shared" si="5"/>
        <v>283302.6012154757</v>
      </c>
      <c r="B31" s="200">
        <f t="shared" si="6"/>
        <v>151024.085677</v>
      </c>
      <c r="C31" s="200">
        <f t="shared" si="7"/>
        <v>114391.91449857606</v>
      </c>
      <c r="D31" s="200">
        <f t="shared" si="8"/>
        <v>265416.0001755761</v>
      </c>
      <c r="E31" s="200">
        <f t="shared" si="9"/>
        <v>17886.60103989963</v>
      </c>
    </row>
    <row r="32" spans="1:5" ht="15.75">
      <c r="A32" s="197">
        <f t="shared" si="5"/>
        <v>298302.6012154757</v>
      </c>
      <c r="B32" s="200">
        <f t="shared" si="6"/>
        <v>151024.085677</v>
      </c>
      <c r="C32" s="200">
        <f t="shared" si="7"/>
        <v>120448.61397862626</v>
      </c>
      <c r="D32" s="200">
        <f t="shared" si="8"/>
        <v>271472.69965562626</v>
      </c>
      <c r="E32" s="200">
        <f t="shared" si="9"/>
        <v>26829.901559849444</v>
      </c>
    </row>
    <row r="33" spans="1:5" ht="15.75">
      <c r="A33" s="197">
        <f t="shared" si="5"/>
        <v>313302.6012154757</v>
      </c>
      <c r="B33" s="200">
        <f t="shared" si="6"/>
        <v>151024.085677</v>
      </c>
      <c r="C33" s="200">
        <f t="shared" si="7"/>
        <v>126505.31345867646</v>
      </c>
      <c r="D33" s="200">
        <f t="shared" si="8"/>
        <v>277529.39913567645</v>
      </c>
      <c r="E33" s="200">
        <f t="shared" si="9"/>
        <v>35773.20207979926</v>
      </c>
    </row>
    <row r="34" spans="1:5" ht="15.75">
      <c r="A34" s="197">
        <f t="shared" si="5"/>
        <v>328302.6012154757</v>
      </c>
      <c r="B34" s="200">
        <f t="shared" si="6"/>
        <v>151024.085677</v>
      </c>
      <c r="C34" s="200">
        <f t="shared" si="7"/>
        <v>132562.01293872666</v>
      </c>
      <c r="D34" s="200">
        <f t="shared" si="8"/>
        <v>283586.0986157267</v>
      </c>
      <c r="E34" s="200">
        <f t="shared" si="9"/>
        <v>44716.502599749016</v>
      </c>
    </row>
    <row r="35" spans="1:5" ht="15.75">
      <c r="A35" s="197">
        <f t="shared" si="5"/>
        <v>343302.6012154757</v>
      </c>
      <c r="B35" s="200">
        <f t="shared" si="6"/>
        <v>151024.085677</v>
      </c>
      <c r="C35" s="200">
        <f t="shared" si="7"/>
        <v>138618.71241877688</v>
      </c>
      <c r="D35" s="200">
        <f t="shared" si="8"/>
        <v>289642.7980957769</v>
      </c>
      <c r="E35" s="200">
        <f t="shared" si="9"/>
        <v>53659.80311969883</v>
      </c>
    </row>
    <row r="36" spans="1:5" ht="15.75">
      <c r="A36" s="197">
        <f t="shared" si="5"/>
        <v>358302.6012154757</v>
      </c>
      <c r="B36" s="200">
        <f t="shared" si="6"/>
        <v>151024.085677</v>
      </c>
      <c r="C36" s="200">
        <f t="shared" si="7"/>
        <v>144675.41189882706</v>
      </c>
      <c r="D36" s="200">
        <f t="shared" si="8"/>
        <v>295699.49757582706</v>
      </c>
      <c r="E36" s="200">
        <f t="shared" si="9"/>
        <v>62603.103639648645</v>
      </c>
    </row>
    <row r="37" spans="1:5" ht="15.75">
      <c r="A37" s="197">
        <f t="shared" si="5"/>
        <v>373302.6012154757</v>
      </c>
      <c r="B37" s="200">
        <f t="shared" si="6"/>
        <v>151024.085677</v>
      </c>
      <c r="C37" s="200">
        <f t="shared" si="7"/>
        <v>150732.11137887728</v>
      </c>
      <c r="D37" s="200">
        <f t="shared" si="8"/>
        <v>301756.1970558773</v>
      </c>
      <c r="E37" s="200">
        <f t="shared" si="9"/>
        <v>71546.4041595984</v>
      </c>
    </row>
    <row r="38" spans="1:5" ht="15.75">
      <c r="A38" s="201">
        <f t="shared" si="5"/>
        <v>388302.6012154757</v>
      </c>
      <c r="B38" s="201">
        <f t="shared" si="6"/>
        <v>151024.085677</v>
      </c>
      <c r="C38" s="197">
        <f t="shared" si="7"/>
        <v>156788.81085892746</v>
      </c>
      <c r="D38" s="201">
        <f t="shared" si="8"/>
        <v>307812.89653592743</v>
      </c>
      <c r="E38" s="197">
        <f t="shared" si="9"/>
        <v>80489.70467954827</v>
      </c>
    </row>
    <row r="39" spans="1:5" ht="15.75">
      <c r="A39" s="197">
        <f t="shared" si="5"/>
        <v>403302.6012154757</v>
      </c>
      <c r="B39" s="201">
        <f t="shared" si="6"/>
        <v>151024.085677</v>
      </c>
      <c r="C39" s="197">
        <f>A39*(1-Contribution_margin)</f>
        <v>162845.51033897768</v>
      </c>
      <c r="D39" s="201">
        <f>B39+C39</f>
        <v>313869.5960159777</v>
      </c>
      <c r="E39" s="197">
        <f>A39-D39</f>
        <v>89433.00519949803</v>
      </c>
    </row>
    <row r="40" spans="1:5" ht="15.75">
      <c r="A40" s="197">
        <f t="shared" si="5"/>
        <v>418302.6012154757</v>
      </c>
      <c r="B40" s="201">
        <f t="shared" si="6"/>
        <v>151024.085677</v>
      </c>
      <c r="C40" s="197">
        <f>A40*(1-Contribution_margin)</f>
        <v>168902.20981902786</v>
      </c>
      <c r="D40" s="201">
        <f>B40+C40</f>
        <v>319926.29549602786</v>
      </c>
      <c r="E40" s="197">
        <f>A40-D40</f>
        <v>98376.30571944785</v>
      </c>
    </row>
    <row r="41" spans="1:5" ht="15.75">
      <c r="A41" s="205">
        <f t="shared" si="5"/>
        <v>433302.6012154757</v>
      </c>
      <c r="B41" s="206">
        <f t="shared" si="6"/>
        <v>151024.085677</v>
      </c>
      <c r="C41" s="205">
        <f>A41*(1-Contribution_margin)</f>
        <v>174958.90929907808</v>
      </c>
      <c r="D41" s="206">
        <f>B41+C41</f>
        <v>325982.99497607804</v>
      </c>
      <c r="E41" s="205">
        <f>A41-D41</f>
        <v>107319.60623939766</v>
      </c>
    </row>
  </sheetData>
  <sheetProtection/>
  <mergeCells count="1">
    <mergeCell ref="A1:E1"/>
  </mergeCells>
  <printOptions horizontalCentered="1"/>
  <pageMargins left="0.1968503937007874" right="0.1968503937007874" top="0.31496062992125984" bottom="0.31496062992125984" header="0.2755905511811024" footer="0.2755905511811024"/>
  <pageSetup fitToHeight="1" fitToWidth="1"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8" sqref="P8"/>
    </sheetView>
  </sheetViews>
  <sheetFormatPr defaultColWidth="9.33203125" defaultRowHeight="12.75"/>
  <cols>
    <col min="1" max="1" width="28.66015625" style="25" customWidth="1"/>
    <col min="2" max="2" width="10.33203125" style="21" customWidth="1"/>
    <col min="3" max="3" width="10.33203125" style="1" customWidth="1"/>
    <col min="4" max="16" width="10.33203125" style="25" customWidth="1"/>
    <col min="19" max="28" width="7.16015625" style="21" customWidth="1"/>
    <col min="29" max="63" width="7.16015625" style="25" customWidth="1"/>
    <col min="64" max="16384" width="9.33203125" style="25" customWidth="1"/>
  </cols>
  <sheetData>
    <row r="1" ht="12.75">
      <c r="A1" s="61"/>
    </row>
    <row r="2" spans="1:54" ht="12.75">
      <c r="A2" s="59"/>
      <c r="B2" s="315" t="s">
        <v>152</v>
      </c>
      <c r="C2" s="315"/>
      <c r="D2" s="314" t="s">
        <v>189</v>
      </c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110"/>
      <c r="R2" s="110"/>
      <c r="S2" s="58"/>
      <c r="T2" s="58"/>
      <c r="U2" s="58"/>
      <c r="V2" s="58"/>
      <c r="W2" s="58"/>
      <c r="X2" s="58"/>
      <c r="Y2" s="58"/>
      <c r="Z2" s="58"/>
      <c r="AA2" s="58"/>
      <c r="AB2" s="58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</row>
    <row r="3" spans="1:54" s="30" customFormat="1" ht="15.75">
      <c r="A3" s="62"/>
      <c r="B3" s="108">
        <v>1999</v>
      </c>
      <c r="C3" s="108">
        <v>2000</v>
      </c>
      <c r="D3" s="153" t="s">
        <v>48</v>
      </c>
      <c r="E3" s="153" t="s">
        <v>49</v>
      </c>
      <c r="F3" s="153" t="s">
        <v>50</v>
      </c>
      <c r="G3" s="153" t="s">
        <v>51</v>
      </c>
      <c r="H3" s="153" t="s">
        <v>52</v>
      </c>
      <c r="I3" s="153" t="s">
        <v>53</v>
      </c>
      <c r="J3" s="153" t="s">
        <v>54</v>
      </c>
      <c r="K3" s="153" t="s">
        <v>55</v>
      </c>
      <c r="L3" s="153" t="s">
        <v>56</v>
      </c>
      <c r="M3" s="153" t="s">
        <v>57</v>
      </c>
      <c r="N3" s="153" t="s">
        <v>58</v>
      </c>
      <c r="O3" s="153" t="s">
        <v>59</v>
      </c>
      <c r="P3" s="153" t="s">
        <v>153</v>
      </c>
      <c r="Q3" s="213"/>
      <c r="R3" s="213"/>
      <c r="S3" s="58"/>
      <c r="T3" s="58"/>
      <c r="U3" s="58"/>
      <c r="V3" s="58"/>
      <c r="W3" s="58"/>
      <c r="X3" s="58"/>
      <c r="Y3" s="58"/>
      <c r="Z3" s="58"/>
      <c r="AA3" s="58"/>
      <c r="AB3" s="58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</row>
    <row r="4" spans="1:54" s="66" customFormat="1" ht="12">
      <c r="A4" s="52" t="s">
        <v>39</v>
      </c>
      <c r="B4" s="53"/>
      <c r="C4" s="65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8"/>
      <c r="R4" s="68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</row>
    <row r="5" spans="1:54" s="66" customFormat="1" ht="12.75">
      <c r="A5" s="66" t="s">
        <v>79</v>
      </c>
      <c r="B5" s="259">
        <v>3210</v>
      </c>
      <c r="C5" s="259">
        <v>3210</v>
      </c>
      <c r="D5" s="267">
        <v>0</v>
      </c>
      <c r="E5" s="267">
        <v>0</v>
      </c>
      <c r="F5" s="267">
        <v>0</v>
      </c>
      <c r="G5" s="268">
        <v>450</v>
      </c>
      <c r="H5" s="268">
        <v>465</v>
      </c>
      <c r="I5" s="268">
        <v>450</v>
      </c>
      <c r="J5" s="268">
        <v>465</v>
      </c>
      <c r="K5" s="268">
        <v>465</v>
      </c>
      <c r="L5" s="268">
        <v>450</v>
      </c>
      <c r="M5" s="268">
        <v>465</v>
      </c>
      <c r="N5" s="267">
        <v>0</v>
      </c>
      <c r="O5" s="267">
        <v>0</v>
      </c>
      <c r="P5" s="12">
        <f>SUM(D5:O5)</f>
        <v>3210</v>
      </c>
      <c r="Q5" s="68"/>
      <c r="R5" s="68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</row>
    <row r="6" spans="1:54" s="53" customFormat="1" ht="12.75">
      <c r="A6" s="68" t="s">
        <v>80</v>
      </c>
      <c r="B6" s="259">
        <v>1713</v>
      </c>
      <c r="C6" s="259">
        <v>1699</v>
      </c>
      <c r="D6" s="269">
        <v>0</v>
      </c>
      <c r="E6" s="269">
        <v>0</v>
      </c>
      <c r="F6" s="269">
        <v>0</v>
      </c>
      <c r="G6" s="268">
        <v>61</v>
      </c>
      <c r="H6" s="268">
        <v>154</v>
      </c>
      <c r="I6" s="268">
        <v>186</v>
      </c>
      <c r="J6" s="268">
        <v>356</v>
      </c>
      <c r="K6" s="268">
        <v>356</v>
      </c>
      <c r="L6" s="268">
        <v>293</v>
      </c>
      <c r="M6" s="268">
        <v>246</v>
      </c>
      <c r="N6" s="267">
        <v>0</v>
      </c>
      <c r="O6" s="267">
        <v>0</v>
      </c>
      <c r="P6" s="12">
        <f>SUM(D6:O6)</f>
        <v>1652</v>
      </c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</row>
    <row r="7" spans="1:54" s="53" customFormat="1" ht="12">
      <c r="A7" s="68" t="s">
        <v>81</v>
      </c>
      <c r="B7" s="122">
        <f>IF(B6=0,0,B6/B5)</f>
        <v>0.5336448598130841</v>
      </c>
      <c r="C7" s="122">
        <f>IF(C6=0,0,C6/C5)</f>
        <v>0.5292834890965732</v>
      </c>
      <c r="D7" s="122">
        <f>IF(D6=0,0,D6/D5)</f>
        <v>0</v>
      </c>
      <c r="E7" s="122">
        <f aca="true" t="shared" si="0" ref="E7:P7">IF(E6=0,0,E6/E5)</f>
        <v>0</v>
      </c>
      <c r="F7" s="122">
        <f t="shared" si="0"/>
        <v>0</v>
      </c>
      <c r="G7" s="122">
        <f t="shared" si="0"/>
        <v>0.13555555555555557</v>
      </c>
      <c r="H7" s="122">
        <f t="shared" si="0"/>
        <v>0.3311827956989247</v>
      </c>
      <c r="I7" s="122">
        <f t="shared" si="0"/>
        <v>0.41333333333333333</v>
      </c>
      <c r="J7" s="122">
        <f t="shared" si="0"/>
        <v>0.7655913978494624</v>
      </c>
      <c r="K7" s="122">
        <f t="shared" si="0"/>
        <v>0.7655913978494624</v>
      </c>
      <c r="L7" s="122">
        <f t="shared" si="0"/>
        <v>0.6511111111111111</v>
      </c>
      <c r="M7" s="122">
        <f t="shared" si="0"/>
        <v>0.5290322580645161</v>
      </c>
      <c r="N7" s="122">
        <f t="shared" si="0"/>
        <v>0</v>
      </c>
      <c r="O7" s="122">
        <f t="shared" si="0"/>
        <v>0</v>
      </c>
      <c r="P7" s="122">
        <f t="shared" si="0"/>
        <v>0.5146417445482866</v>
      </c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</row>
    <row r="8" spans="1:54" s="53" customFormat="1" ht="12">
      <c r="A8" s="68" t="s">
        <v>82</v>
      </c>
      <c r="B8" s="70">
        <f>IF(B10=0,0,B10/B6)</f>
        <v>71.68009340338587</v>
      </c>
      <c r="C8" s="70">
        <f>IF(C10=0,0,C10/C6)</f>
        <v>76.25073572689817</v>
      </c>
      <c r="D8" s="70">
        <f>IF(D10=0,0,D10/D6)</f>
        <v>0</v>
      </c>
      <c r="E8" s="70">
        <f aca="true" t="shared" si="1" ref="E8:P8">IF(E10=0,0,E10/E6)</f>
        <v>0</v>
      </c>
      <c r="F8" s="70">
        <f t="shared" si="1"/>
        <v>0</v>
      </c>
      <c r="G8" s="70">
        <f t="shared" si="1"/>
        <v>65.57377049180327</v>
      </c>
      <c r="H8" s="70">
        <f t="shared" si="1"/>
        <v>64.93506493506493</v>
      </c>
      <c r="I8" s="70">
        <f t="shared" si="1"/>
        <v>69.89247311827957</v>
      </c>
      <c r="J8" s="70">
        <f t="shared" si="1"/>
        <v>89.88764044943821</v>
      </c>
      <c r="K8" s="70">
        <f t="shared" si="1"/>
        <v>84.26966292134831</v>
      </c>
      <c r="L8" s="70">
        <f t="shared" si="1"/>
        <v>64.84641638225256</v>
      </c>
      <c r="M8" s="70">
        <f t="shared" si="1"/>
        <v>56.91056910569106</v>
      </c>
      <c r="N8" s="70">
        <f t="shared" si="1"/>
        <v>0</v>
      </c>
      <c r="O8" s="70">
        <f t="shared" si="1"/>
        <v>0</v>
      </c>
      <c r="P8" s="70">
        <f t="shared" si="1"/>
        <v>73.8498789346247</v>
      </c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</row>
    <row r="9" spans="17:54" ht="12.75">
      <c r="Q9" s="110"/>
      <c r="R9" s="110"/>
      <c r="S9" s="58"/>
      <c r="T9" s="58"/>
      <c r="U9" s="58"/>
      <c r="V9" s="58"/>
      <c r="W9" s="58"/>
      <c r="X9" s="58"/>
      <c r="Y9" s="58"/>
      <c r="Z9" s="58"/>
      <c r="AA9" s="58"/>
      <c r="AB9" s="58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</row>
    <row r="10" spans="1:54" ht="12.75">
      <c r="A10" s="24" t="s">
        <v>41</v>
      </c>
      <c r="B10" s="260">
        <v>122788</v>
      </c>
      <c r="C10" s="260">
        <v>129550</v>
      </c>
      <c r="D10" s="262">
        <v>0</v>
      </c>
      <c r="E10" s="262">
        <v>0</v>
      </c>
      <c r="F10" s="262">
        <v>0</v>
      </c>
      <c r="G10" s="262">
        <v>4000</v>
      </c>
      <c r="H10" s="262">
        <v>10000</v>
      </c>
      <c r="I10" s="262">
        <v>13000</v>
      </c>
      <c r="J10" s="262">
        <v>32000</v>
      </c>
      <c r="K10" s="262">
        <v>30000</v>
      </c>
      <c r="L10" s="262">
        <v>19000</v>
      </c>
      <c r="M10" s="262">
        <v>14000</v>
      </c>
      <c r="N10" s="262">
        <v>0</v>
      </c>
      <c r="O10" s="262">
        <v>0</v>
      </c>
      <c r="P10" s="93">
        <f>SUM(D10:O10)</f>
        <v>122000</v>
      </c>
      <c r="Q10" s="110"/>
      <c r="R10" s="110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</row>
    <row r="11" spans="1:54" ht="12.75">
      <c r="A11" s="24" t="s">
        <v>60</v>
      </c>
      <c r="B11" s="260">
        <v>33810</v>
      </c>
      <c r="C11" s="260">
        <v>36408</v>
      </c>
      <c r="D11" s="262">
        <v>0</v>
      </c>
      <c r="E11" s="262">
        <v>0</v>
      </c>
      <c r="F11" s="262">
        <v>0</v>
      </c>
      <c r="G11" s="262">
        <v>0</v>
      </c>
      <c r="H11" s="262">
        <v>2000</v>
      </c>
      <c r="I11" s="262">
        <v>4000</v>
      </c>
      <c r="J11" s="262">
        <v>9000</v>
      </c>
      <c r="K11" s="262">
        <v>9000</v>
      </c>
      <c r="L11" s="262">
        <v>7000</v>
      </c>
      <c r="M11" s="262">
        <v>5000</v>
      </c>
      <c r="N11" s="262">
        <v>0</v>
      </c>
      <c r="O11" s="262">
        <v>0</v>
      </c>
      <c r="P11" s="93">
        <f>SUM(D11:O11)</f>
        <v>36000</v>
      </c>
      <c r="Q11" s="110"/>
      <c r="R11" s="110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</row>
    <row r="12" spans="1:54" ht="12.75">
      <c r="A12" s="24" t="s">
        <v>1</v>
      </c>
      <c r="B12" s="260">
        <v>22540</v>
      </c>
      <c r="C12" s="260">
        <v>24272</v>
      </c>
      <c r="D12" s="262">
        <v>0</v>
      </c>
      <c r="E12" s="262">
        <v>0</v>
      </c>
      <c r="F12" s="262">
        <v>0</v>
      </c>
      <c r="G12" s="262">
        <v>500</v>
      </c>
      <c r="H12" s="262">
        <v>3000</v>
      </c>
      <c r="I12" s="262">
        <v>3000</v>
      </c>
      <c r="J12" s="262">
        <v>5000</v>
      </c>
      <c r="K12" s="262">
        <v>5000</v>
      </c>
      <c r="L12" s="262">
        <v>4000</v>
      </c>
      <c r="M12" s="262">
        <v>3000</v>
      </c>
      <c r="N12" s="262">
        <v>0</v>
      </c>
      <c r="O12" s="262">
        <v>0</v>
      </c>
      <c r="P12" s="93">
        <f>SUM(D12:O12)</f>
        <v>23500</v>
      </c>
      <c r="Q12" s="110"/>
      <c r="R12" s="110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</row>
    <row r="13" spans="1:54" ht="12.75">
      <c r="A13" s="24" t="s">
        <v>61</v>
      </c>
      <c r="B13" s="260">
        <v>14812</v>
      </c>
      <c r="C13" s="260">
        <v>16100</v>
      </c>
      <c r="D13" s="262">
        <v>0</v>
      </c>
      <c r="E13" s="262">
        <v>0</v>
      </c>
      <c r="F13" s="262">
        <v>0</v>
      </c>
      <c r="G13" s="262">
        <v>4000</v>
      </c>
      <c r="H13" s="262">
        <v>2000</v>
      </c>
      <c r="I13" s="262">
        <v>4000</v>
      </c>
      <c r="J13" s="262">
        <v>2000</v>
      </c>
      <c r="K13" s="262">
        <v>5000</v>
      </c>
      <c r="L13" s="262">
        <v>500</v>
      </c>
      <c r="M13" s="262">
        <v>250</v>
      </c>
      <c r="N13" s="262">
        <v>0</v>
      </c>
      <c r="O13" s="262">
        <v>0</v>
      </c>
      <c r="P13" s="93">
        <f>SUM(D13:O13)</f>
        <v>17750</v>
      </c>
      <c r="Q13" s="110"/>
      <c r="R13" s="110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</row>
    <row r="14" spans="1:28" s="61" customFormat="1" ht="12.75">
      <c r="A14" s="81" t="s">
        <v>2</v>
      </c>
      <c r="B14" s="261">
        <v>0</v>
      </c>
      <c r="C14" s="261">
        <v>0</v>
      </c>
      <c r="D14" s="270">
        <v>0</v>
      </c>
      <c r="E14" s="270">
        <v>0</v>
      </c>
      <c r="F14" s="270">
        <v>0</v>
      </c>
      <c r="G14" s="270">
        <v>0</v>
      </c>
      <c r="H14" s="270">
        <v>0</v>
      </c>
      <c r="I14" s="270">
        <v>0</v>
      </c>
      <c r="J14" s="270">
        <v>0</v>
      </c>
      <c r="K14" s="270">
        <v>0</v>
      </c>
      <c r="L14" s="270">
        <v>0</v>
      </c>
      <c r="M14" s="270">
        <v>0</v>
      </c>
      <c r="N14" s="270">
        <v>0</v>
      </c>
      <c r="O14" s="270">
        <v>0</v>
      </c>
      <c r="P14" s="95">
        <f>SUM(D14:O14)</f>
        <v>0</v>
      </c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54" s="98" customFormat="1" ht="12.75">
      <c r="A15" s="96" t="s">
        <v>3</v>
      </c>
      <c r="B15" s="97">
        <f>SUM(B10:B14)</f>
        <v>193950</v>
      </c>
      <c r="C15" s="97">
        <f>SUM(C10:C14)</f>
        <v>206330</v>
      </c>
      <c r="D15" s="97">
        <f aca="true" t="shared" si="2" ref="D15:P15">SUM(D10:D14)</f>
        <v>0</v>
      </c>
      <c r="E15" s="97">
        <f t="shared" si="2"/>
        <v>0</v>
      </c>
      <c r="F15" s="97">
        <f t="shared" si="2"/>
        <v>0</v>
      </c>
      <c r="G15" s="97">
        <f t="shared" si="2"/>
        <v>8500</v>
      </c>
      <c r="H15" s="97">
        <f t="shared" si="2"/>
        <v>17000</v>
      </c>
      <c r="I15" s="97">
        <f t="shared" si="2"/>
        <v>24000</v>
      </c>
      <c r="J15" s="97">
        <f t="shared" si="2"/>
        <v>48000</v>
      </c>
      <c r="K15" s="97">
        <f t="shared" si="2"/>
        <v>49000</v>
      </c>
      <c r="L15" s="97">
        <f t="shared" si="2"/>
        <v>30500</v>
      </c>
      <c r="M15" s="97">
        <f t="shared" si="2"/>
        <v>22250</v>
      </c>
      <c r="N15" s="97">
        <f t="shared" si="2"/>
        <v>0</v>
      </c>
      <c r="O15" s="97">
        <f t="shared" si="2"/>
        <v>0</v>
      </c>
      <c r="P15" s="97">
        <f t="shared" si="2"/>
        <v>199250</v>
      </c>
      <c r="Q15" s="147"/>
      <c r="R15" s="14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</row>
    <row r="16" spans="1:54" ht="12.75">
      <c r="A16" s="26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110"/>
      <c r="R16" s="110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</row>
    <row r="17" spans="1:54" ht="12.75">
      <c r="A17" s="26" t="s">
        <v>4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10"/>
      <c r="R17" s="110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</row>
    <row r="18" spans="1:54" ht="12.75">
      <c r="A18" s="24" t="s">
        <v>164</v>
      </c>
      <c r="B18" s="262">
        <v>0</v>
      </c>
      <c r="C18" s="262">
        <v>0</v>
      </c>
      <c r="D18" s="262">
        <v>0</v>
      </c>
      <c r="E18" s="262">
        <v>0</v>
      </c>
      <c r="F18" s="262">
        <v>0</v>
      </c>
      <c r="G18" s="262">
        <v>970</v>
      </c>
      <c r="H18" s="262">
        <v>1150</v>
      </c>
      <c r="I18" s="262">
        <v>2150</v>
      </c>
      <c r="J18" s="262">
        <v>5050</v>
      </c>
      <c r="K18" s="262">
        <v>5050</v>
      </c>
      <c r="L18" s="262">
        <v>3250</v>
      </c>
      <c r="M18" s="262">
        <v>2850</v>
      </c>
      <c r="N18" s="262">
        <v>0</v>
      </c>
      <c r="O18" s="262">
        <v>0</v>
      </c>
      <c r="P18" s="99">
        <f>SUM(D18:O18)</f>
        <v>20470</v>
      </c>
      <c r="Q18" s="110"/>
      <c r="R18" s="110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</row>
    <row r="19" spans="1:54" ht="12.75">
      <c r="A19" s="24" t="s">
        <v>165</v>
      </c>
      <c r="B19" s="262">
        <v>0</v>
      </c>
      <c r="C19" s="262">
        <v>0</v>
      </c>
      <c r="D19" s="262">
        <v>0</v>
      </c>
      <c r="E19" s="262">
        <v>0</v>
      </c>
      <c r="F19" s="262">
        <v>0</v>
      </c>
      <c r="G19" s="262">
        <v>150</v>
      </c>
      <c r="H19" s="262">
        <v>300</v>
      </c>
      <c r="I19" s="262">
        <v>300</v>
      </c>
      <c r="J19" s="262">
        <v>900</v>
      </c>
      <c r="K19" s="262">
        <v>900</v>
      </c>
      <c r="L19" s="262">
        <v>600</v>
      </c>
      <c r="M19" s="262">
        <v>300</v>
      </c>
      <c r="N19" s="262">
        <v>0</v>
      </c>
      <c r="O19" s="262">
        <v>0</v>
      </c>
      <c r="P19" s="99">
        <f>SUM(D19:O19)</f>
        <v>3450</v>
      </c>
      <c r="Q19" s="110"/>
      <c r="R19" s="110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</row>
    <row r="20" spans="1:54" ht="12.75">
      <c r="A20" s="24" t="s">
        <v>75</v>
      </c>
      <c r="B20" s="262">
        <v>0</v>
      </c>
      <c r="C20" s="262">
        <v>0</v>
      </c>
      <c r="D20" s="262">
        <v>0</v>
      </c>
      <c r="E20" s="262">
        <v>0</v>
      </c>
      <c r="F20" s="262">
        <v>0</v>
      </c>
      <c r="G20" s="262">
        <v>1100</v>
      </c>
      <c r="H20" s="262">
        <v>1170</v>
      </c>
      <c r="I20" s="262">
        <v>1250</v>
      </c>
      <c r="J20" s="262">
        <v>1530</v>
      </c>
      <c r="K20" s="262">
        <v>1560</v>
      </c>
      <c r="L20" s="262">
        <v>1335</v>
      </c>
      <c r="M20" s="262">
        <v>1250</v>
      </c>
      <c r="N20" s="262">
        <v>0</v>
      </c>
      <c r="O20" s="262">
        <v>0</v>
      </c>
      <c r="P20" s="99">
        <f>SUM(D20:O20)</f>
        <v>9195</v>
      </c>
      <c r="Q20" s="110"/>
      <c r="R20" s="110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</row>
    <row r="21" spans="1:54" ht="12.75">
      <c r="A21" s="35" t="s">
        <v>62</v>
      </c>
      <c r="B21" s="262">
        <v>0</v>
      </c>
      <c r="C21" s="262">
        <v>0</v>
      </c>
      <c r="D21" s="262">
        <v>0</v>
      </c>
      <c r="E21" s="262">
        <v>0</v>
      </c>
      <c r="F21" s="262">
        <v>0</v>
      </c>
      <c r="G21" s="262">
        <v>1000</v>
      </c>
      <c r="H21" s="262">
        <v>500</v>
      </c>
      <c r="I21" s="262">
        <v>1000</v>
      </c>
      <c r="J21" s="262">
        <v>500</v>
      </c>
      <c r="K21" s="262">
        <v>1250</v>
      </c>
      <c r="L21" s="262">
        <v>200</v>
      </c>
      <c r="M21" s="262">
        <v>0</v>
      </c>
      <c r="N21" s="262">
        <v>0</v>
      </c>
      <c r="O21" s="262">
        <v>0</v>
      </c>
      <c r="P21" s="99">
        <f>SUM(D21:O21)</f>
        <v>4450</v>
      </c>
      <c r="Q21" s="110"/>
      <c r="R21" s="110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</row>
    <row r="22" spans="1:54" ht="12.75">
      <c r="A22" s="35" t="s">
        <v>5</v>
      </c>
      <c r="B22" s="262">
        <v>0</v>
      </c>
      <c r="C22" s="262">
        <v>0</v>
      </c>
      <c r="D22" s="262">
        <v>0</v>
      </c>
      <c r="E22" s="262">
        <v>0</v>
      </c>
      <c r="F22" s="262">
        <v>0</v>
      </c>
      <c r="G22" s="262">
        <v>2700</v>
      </c>
      <c r="H22" s="262">
        <v>4590</v>
      </c>
      <c r="I22" s="262">
        <v>6750</v>
      </c>
      <c r="J22" s="262">
        <v>14310</v>
      </c>
      <c r="K22" s="262">
        <v>15120</v>
      </c>
      <c r="L22" s="262">
        <v>6750</v>
      </c>
      <c r="M22" s="262">
        <v>545</v>
      </c>
      <c r="N22" s="262">
        <v>0</v>
      </c>
      <c r="O22" s="262">
        <v>0</v>
      </c>
      <c r="P22" s="95">
        <f>SUM(D22:O22)</f>
        <v>50765</v>
      </c>
      <c r="Q22" s="110"/>
      <c r="R22" s="110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</row>
    <row r="23" spans="1:54" s="80" customFormat="1" ht="12.75">
      <c r="A23" s="79" t="s">
        <v>6</v>
      </c>
      <c r="B23" s="101">
        <v>91150</v>
      </c>
      <c r="C23" s="101">
        <v>94910</v>
      </c>
      <c r="D23" s="100">
        <f>SUM(D18:D22)</f>
        <v>0</v>
      </c>
      <c r="E23" s="100">
        <f>SUM(E18:E22)</f>
        <v>0</v>
      </c>
      <c r="F23" s="100">
        <v>0</v>
      </c>
      <c r="G23" s="100">
        <f aca="true" t="shared" si="3" ref="G23:P23">SUM(G18:G22)</f>
        <v>5920</v>
      </c>
      <c r="H23" s="100">
        <f t="shared" si="3"/>
        <v>7710</v>
      </c>
      <c r="I23" s="100">
        <f t="shared" si="3"/>
        <v>11450</v>
      </c>
      <c r="J23" s="100">
        <f t="shared" si="3"/>
        <v>22290</v>
      </c>
      <c r="K23" s="100">
        <f t="shared" si="3"/>
        <v>23880</v>
      </c>
      <c r="L23" s="100">
        <f t="shared" si="3"/>
        <v>12135</v>
      </c>
      <c r="M23" s="100">
        <f t="shared" si="3"/>
        <v>4945</v>
      </c>
      <c r="N23" s="100">
        <f t="shared" si="3"/>
        <v>0</v>
      </c>
      <c r="O23" s="100">
        <f t="shared" si="3"/>
        <v>0</v>
      </c>
      <c r="P23" s="100">
        <f t="shared" si="3"/>
        <v>88330</v>
      </c>
      <c r="Q23" s="61"/>
      <c r="R23" s="61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</row>
    <row r="24" spans="1:54" s="38" customFormat="1" ht="12.75">
      <c r="A24" s="36" t="s">
        <v>7</v>
      </c>
      <c r="B24" s="39">
        <f>IF(B15=0,0,B23/B15)</f>
        <v>0.4699664862077855</v>
      </c>
      <c r="C24" s="39">
        <f>IF(C15=0,0,C23/C15)</f>
        <v>0.4599912761110842</v>
      </c>
      <c r="D24" s="39">
        <f>IF(D15=0,0,D23/D15)</f>
        <v>0</v>
      </c>
      <c r="E24" s="39">
        <f aca="true" t="shared" si="4" ref="E24:P24">IF(E15=0,0,E23/E15)</f>
        <v>0</v>
      </c>
      <c r="F24" s="39">
        <f t="shared" si="4"/>
        <v>0</v>
      </c>
      <c r="G24" s="39">
        <f t="shared" si="4"/>
        <v>0.6964705882352941</v>
      </c>
      <c r="H24" s="39">
        <f t="shared" si="4"/>
        <v>0.4535294117647059</v>
      </c>
      <c r="I24" s="39">
        <f t="shared" si="4"/>
        <v>0.47708333333333336</v>
      </c>
      <c r="J24" s="39">
        <f t="shared" si="4"/>
        <v>0.464375</v>
      </c>
      <c r="K24" s="39">
        <f t="shared" si="4"/>
        <v>0.4873469387755102</v>
      </c>
      <c r="L24" s="39">
        <f t="shared" si="4"/>
        <v>0.3978688524590164</v>
      </c>
      <c r="M24" s="39">
        <f t="shared" si="4"/>
        <v>0.22224719101123597</v>
      </c>
      <c r="N24" s="39">
        <f t="shared" si="4"/>
        <v>0</v>
      </c>
      <c r="O24" s="39">
        <f t="shared" si="4"/>
        <v>0</v>
      </c>
      <c r="P24" s="39">
        <f t="shared" si="4"/>
        <v>0.4433124215809285</v>
      </c>
      <c r="Q24" s="214"/>
      <c r="R24" s="214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</row>
    <row r="25" spans="1:54" s="38" customFormat="1" ht="12.75">
      <c r="A25" s="36"/>
      <c r="B25" s="21"/>
      <c r="C25" s="1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214"/>
      <c r="R25" s="214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</row>
    <row r="26" spans="1:54" s="38" customFormat="1" ht="12.75">
      <c r="A26" s="40" t="s">
        <v>8</v>
      </c>
      <c r="B26" s="103">
        <f>B15-B23</f>
        <v>102800</v>
      </c>
      <c r="C26" s="103">
        <f>C15-C23</f>
        <v>111420</v>
      </c>
      <c r="D26" s="102">
        <f aca="true" t="shared" si="5" ref="D26:P26">D15-D23</f>
        <v>0</v>
      </c>
      <c r="E26" s="102">
        <f t="shared" si="5"/>
        <v>0</v>
      </c>
      <c r="F26" s="102">
        <f t="shared" si="5"/>
        <v>0</v>
      </c>
      <c r="G26" s="102">
        <f t="shared" si="5"/>
        <v>2580</v>
      </c>
      <c r="H26" s="102">
        <f t="shared" si="5"/>
        <v>9290</v>
      </c>
      <c r="I26" s="102">
        <f t="shared" si="5"/>
        <v>12550</v>
      </c>
      <c r="J26" s="102">
        <f t="shared" si="5"/>
        <v>25710</v>
      </c>
      <c r="K26" s="102">
        <f t="shared" si="5"/>
        <v>25120</v>
      </c>
      <c r="L26" s="102">
        <f t="shared" si="5"/>
        <v>18365</v>
      </c>
      <c r="M26" s="102">
        <f t="shared" si="5"/>
        <v>17305</v>
      </c>
      <c r="N26" s="102">
        <f t="shared" si="5"/>
        <v>0</v>
      </c>
      <c r="O26" s="102">
        <f t="shared" si="5"/>
        <v>0</v>
      </c>
      <c r="P26" s="103">
        <f t="shared" si="5"/>
        <v>110920</v>
      </c>
      <c r="Q26" s="214"/>
      <c r="R26" s="214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</row>
    <row r="27" spans="1:54" ht="12.75">
      <c r="A27" s="24" t="s">
        <v>9</v>
      </c>
      <c r="B27" s="126">
        <f>IF(B15=0,0,B26/B15)</f>
        <v>0.5300335137922145</v>
      </c>
      <c r="C27" s="126">
        <f>IF(C15=0,0,C26/C15)</f>
        <v>0.5400087238889159</v>
      </c>
      <c r="D27" s="126">
        <f>IF(D15=0,0,D26/D15)</f>
        <v>0</v>
      </c>
      <c r="E27" s="126">
        <f aca="true" t="shared" si="6" ref="E27:P27">IF(E15=0,0,E26/E15)</f>
        <v>0</v>
      </c>
      <c r="F27" s="126">
        <f t="shared" si="6"/>
        <v>0</v>
      </c>
      <c r="G27" s="126">
        <f t="shared" si="6"/>
        <v>0.3035294117647059</v>
      </c>
      <c r="H27" s="126">
        <f t="shared" si="6"/>
        <v>0.5464705882352942</v>
      </c>
      <c r="I27" s="126">
        <f t="shared" si="6"/>
        <v>0.5229166666666667</v>
      </c>
      <c r="J27" s="126">
        <f t="shared" si="6"/>
        <v>0.535625</v>
      </c>
      <c r="K27" s="126">
        <f t="shared" si="6"/>
        <v>0.5126530612244898</v>
      </c>
      <c r="L27" s="126">
        <f t="shared" si="6"/>
        <v>0.6021311475409836</v>
      </c>
      <c r="M27" s="126">
        <f t="shared" si="6"/>
        <v>0.7777528089887641</v>
      </c>
      <c r="N27" s="126">
        <f t="shared" si="6"/>
        <v>0</v>
      </c>
      <c r="O27" s="126">
        <f t="shared" si="6"/>
        <v>0</v>
      </c>
      <c r="P27" s="126">
        <f t="shared" si="6"/>
        <v>0.5566875784190716</v>
      </c>
      <c r="Q27" s="110"/>
      <c r="R27" s="110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</row>
    <row r="28" spans="1:54" ht="12.75">
      <c r="A28" s="2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110"/>
      <c r="R28" s="110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</row>
    <row r="29" spans="1:54" ht="12.75">
      <c r="A29" s="26" t="s">
        <v>65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10"/>
      <c r="R29" s="110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</row>
    <row r="30" spans="1:54" s="42" customFormat="1" ht="12.75">
      <c r="A30" s="24" t="s">
        <v>66</v>
      </c>
      <c r="B30" s="263"/>
      <c r="C30" s="263"/>
      <c r="D30" s="262">
        <v>0</v>
      </c>
      <c r="E30" s="262">
        <v>0</v>
      </c>
      <c r="F30" s="262">
        <v>0</v>
      </c>
      <c r="G30" s="262">
        <v>1090</v>
      </c>
      <c r="H30" s="262">
        <v>1350</v>
      </c>
      <c r="I30" s="262">
        <v>1645</v>
      </c>
      <c r="J30" s="262">
        <v>2680</v>
      </c>
      <c r="K30" s="262">
        <v>2792</v>
      </c>
      <c r="L30" s="262">
        <v>1960</v>
      </c>
      <c r="M30" s="262">
        <v>1645</v>
      </c>
      <c r="N30" s="262">
        <v>0</v>
      </c>
      <c r="O30" s="262">
        <v>0</v>
      </c>
      <c r="P30" s="93">
        <f aca="true" t="shared" si="7" ref="P30:P44">SUM(D30:O30)</f>
        <v>13162</v>
      </c>
      <c r="Q30" s="216"/>
      <c r="R30" s="216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</row>
    <row r="31" spans="1:54" ht="12.75">
      <c r="A31" s="24" t="s">
        <v>67</v>
      </c>
      <c r="B31" s="260"/>
      <c r="C31" s="260"/>
      <c r="D31" s="262">
        <v>0</v>
      </c>
      <c r="E31" s="262">
        <v>0</v>
      </c>
      <c r="F31" s="262">
        <v>0</v>
      </c>
      <c r="G31" s="262">
        <v>410</v>
      </c>
      <c r="H31" s="262">
        <v>697</v>
      </c>
      <c r="I31" s="262">
        <v>1025</v>
      </c>
      <c r="J31" s="262">
        <v>2175</v>
      </c>
      <c r="K31" s="262">
        <v>2295</v>
      </c>
      <c r="L31" s="262">
        <v>1375</v>
      </c>
      <c r="M31" s="262">
        <v>1025</v>
      </c>
      <c r="N31" s="262">
        <v>0</v>
      </c>
      <c r="O31" s="262">
        <v>0</v>
      </c>
      <c r="P31" s="93">
        <f t="shared" si="7"/>
        <v>9002</v>
      </c>
      <c r="Q31" s="110"/>
      <c r="R31" s="110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</row>
    <row r="32" spans="1:54" ht="12.75">
      <c r="A32" s="35" t="s">
        <v>68</v>
      </c>
      <c r="B32" s="260"/>
      <c r="C32" s="260"/>
      <c r="D32" s="262">
        <v>0</v>
      </c>
      <c r="E32" s="262">
        <v>0</v>
      </c>
      <c r="F32" s="262">
        <v>0</v>
      </c>
      <c r="G32" s="262">
        <v>300</v>
      </c>
      <c r="H32" s="262">
        <v>510</v>
      </c>
      <c r="I32" s="262">
        <v>750</v>
      </c>
      <c r="J32" s="262">
        <v>1590</v>
      </c>
      <c r="K32" s="262">
        <v>1680</v>
      </c>
      <c r="L32" s="262">
        <v>1005</v>
      </c>
      <c r="M32" s="262">
        <v>750</v>
      </c>
      <c r="N32" s="262">
        <v>0</v>
      </c>
      <c r="O32" s="262">
        <v>0</v>
      </c>
      <c r="P32" s="93">
        <f t="shared" si="7"/>
        <v>6585</v>
      </c>
      <c r="Q32" s="110"/>
      <c r="R32" s="110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</row>
    <row r="33" spans="1:54" ht="12.75">
      <c r="A33" s="35" t="s">
        <v>40</v>
      </c>
      <c r="B33" s="260"/>
      <c r="C33" s="260"/>
      <c r="D33" s="262">
        <v>0</v>
      </c>
      <c r="E33" s="262">
        <v>0</v>
      </c>
      <c r="F33" s="262">
        <v>0</v>
      </c>
      <c r="G33" s="262">
        <v>460</v>
      </c>
      <c r="H33" s="262">
        <v>782</v>
      </c>
      <c r="I33" s="262">
        <v>1150</v>
      </c>
      <c r="J33" s="262">
        <v>2438</v>
      </c>
      <c r="K33" s="262">
        <v>2575</v>
      </c>
      <c r="L33" s="262">
        <v>1540</v>
      </c>
      <c r="M33" s="262">
        <v>1150</v>
      </c>
      <c r="N33" s="262">
        <v>0</v>
      </c>
      <c r="O33" s="262">
        <v>0</v>
      </c>
      <c r="P33" s="93">
        <f t="shared" si="7"/>
        <v>10095</v>
      </c>
      <c r="Q33" s="110"/>
      <c r="R33" s="110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</row>
    <row r="34" spans="1:54" s="80" customFormat="1" ht="12.75">
      <c r="A34" s="82" t="s">
        <v>69</v>
      </c>
      <c r="B34" s="105">
        <v>32978</v>
      </c>
      <c r="C34" s="105">
        <v>35075</v>
      </c>
      <c r="D34" s="104">
        <v>0</v>
      </c>
      <c r="E34" s="104">
        <v>0</v>
      </c>
      <c r="F34" s="104">
        <v>0</v>
      </c>
      <c r="G34" s="104">
        <f aca="true" t="shared" si="8" ref="G34:M34">SUM(G30:G33)</f>
        <v>2260</v>
      </c>
      <c r="H34" s="104">
        <f t="shared" si="8"/>
        <v>3339</v>
      </c>
      <c r="I34" s="104">
        <f t="shared" si="8"/>
        <v>4570</v>
      </c>
      <c r="J34" s="104">
        <f t="shared" si="8"/>
        <v>8883</v>
      </c>
      <c r="K34" s="104">
        <f t="shared" si="8"/>
        <v>9342</v>
      </c>
      <c r="L34" s="104">
        <f t="shared" si="8"/>
        <v>5880</v>
      </c>
      <c r="M34" s="104">
        <f t="shared" si="8"/>
        <v>4570</v>
      </c>
      <c r="N34" s="104">
        <v>0</v>
      </c>
      <c r="O34" s="104">
        <v>0</v>
      </c>
      <c r="P34" s="101">
        <f>SUM(P30:P33)</f>
        <v>38844</v>
      </c>
      <c r="Q34" s="61"/>
      <c r="R34" s="61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</row>
    <row r="35" spans="1:28" s="61" customFormat="1" ht="12.75">
      <c r="A35" s="83"/>
      <c r="B35" s="85"/>
      <c r="C35" s="8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57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1:54" ht="12" customHeight="1">
      <c r="A36" s="52" t="s">
        <v>70</v>
      </c>
      <c r="B36" s="106">
        <v>69822</v>
      </c>
      <c r="C36" s="106">
        <v>76345</v>
      </c>
      <c r="D36" s="93">
        <v>0</v>
      </c>
      <c r="E36" s="93">
        <v>0</v>
      </c>
      <c r="F36" s="93">
        <v>0</v>
      </c>
      <c r="G36" s="93">
        <f aca="true" t="shared" si="9" ref="G36:M36">G26-G34</f>
        <v>320</v>
      </c>
      <c r="H36" s="93">
        <f t="shared" si="9"/>
        <v>5951</v>
      </c>
      <c r="I36" s="93">
        <f t="shared" si="9"/>
        <v>7980</v>
      </c>
      <c r="J36" s="93">
        <f t="shared" si="9"/>
        <v>16827</v>
      </c>
      <c r="K36" s="93">
        <f t="shared" si="9"/>
        <v>15778</v>
      </c>
      <c r="L36" s="93">
        <f t="shared" si="9"/>
        <v>12485</v>
      </c>
      <c r="M36" s="93">
        <f t="shared" si="9"/>
        <v>12735</v>
      </c>
      <c r="N36" s="93">
        <v>0</v>
      </c>
      <c r="O36" s="93">
        <v>0</v>
      </c>
      <c r="P36" s="106">
        <f>P26-P34</f>
        <v>72076</v>
      </c>
      <c r="Q36" s="110"/>
      <c r="R36" s="110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</row>
    <row r="37" spans="1:54" ht="12" customHeight="1">
      <c r="A37" s="35" t="s">
        <v>7</v>
      </c>
      <c r="B37" s="39">
        <f>IF(B15=0,0,B36/B15)</f>
        <v>0.36</v>
      </c>
      <c r="C37" s="39">
        <f>IF(C15=0,0,C36/C15)</f>
        <v>0.37001405515436436</v>
      </c>
      <c r="D37" s="39">
        <f>IF(D15=0,0,D36/D15)</f>
        <v>0</v>
      </c>
      <c r="E37" s="39">
        <f aca="true" t="shared" si="10" ref="E37:P37">IF(E15=0,0,E36/E15)</f>
        <v>0</v>
      </c>
      <c r="F37" s="39">
        <f t="shared" si="10"/>
        <v>0</v>
      </c>
      <c r="G37" s="39">
        <f t="shared" si="10"/>
        <v>0.03764705882352941</v>
      </c>
      <c r="H37" s="39">
        <f t="shared" si="10"/>
        <v>0.35005882352941176</v>
      </c>
      <c r="I37" s="39">
        <f t="shared" si="10"/>
        <v>0.3325</v>
      </c>
      <c r="J37" s="39">
        <f t="shared" si="10"/>
        <v>0.3505625</v>
      </c>
      <c r="K37" s="39">
        <f t="shared" si="10"/>
        <v>0.322</v>
      </c>
      <c r="L37" s="39">
        <f t="shared" si="10"/>
        <v>0.409344262295082</v>
      </c>
      <c r="M37" s="39">
        <f t="shared" si="10"/>
        <v>0.5723595505617978</v>
      </c>
      <c r="N37" s="39">
        <f t="shared" si="10"/>
        <v>0</v>
      </c>
      <c r="O37" s="39">
        <f t="shared" si="10"/>
        <v>0</v>
      </c>
      <c r="P37" s="39">
        <f t="shared" si="10"/>
        <v>0.36173651191969886</v>
      </c>
      <c r="Q37" s="110"/>
      <c r="R37" s="110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</row>
    <row r="38" spans="1:54" ht="12" customHeight="1">
      <c r="A38" s="35"/>
      <c r="B38" s="54"/>
      <c r="C38" s="54"/>
      <c r="D38" s="12"/>
      <c r="E38" s="12"/>
      <c r="F38" s="12"/>
      <c r="G38" s="54"/>
      <c r="H38" s="54"/>
      <c r="I38" s="54"/>
      <c r="J38" s="54"/>
      <c r="K38" s="54"/>
      <c r="L38" s="54"/>
      <c r="M38" s="54"/>
      <c r="N38" s="12"/>
      <c r="O38" s="12"/>
      <c r="P38" s="54"/>
      <c r="Q38" s="110"/>
      <c r="R38" s="110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</row>
    <row r="39" spans="1:54" ht="12" customHeight="1">
      <c r="A39" s="51" t="s">
        <v>71</v>
      </c>
      <c r="D39" s="12"/>
      <c r="E39" s="12"/>
      <c r="F39" s="12"/>
      <c r="G39" s="54"/>
      <c r="H39" s="12"/>
      <c r="I39" s="12"/>
      <c r="J39" s="12"/>
      <c r="K39" s="12"/>
      <c r="L39" s="12"/>
      <c r="M39" s="12"/>
      <c r="N39" s="12"/>
      <c r="O39" s="12"/>
      <c r="P39" s="12"/>
      <c r="Q39" s="110"/>
      <c r="R39" s="110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</row>
    <row r="40" spans="1:54" ht="12" customHeight="1">
      <c r="A40" s="35" t="s">
        <v>197</v>
      </c>
      <c r="B40" s="264">
        <v>7758</v>
      </c>
      <c r="C40" s="264">
        <v>8253</v>
      </c>
      <c r="D40" s="272">
        <v>0</v>
      </c>
      <c r="E40" s="272">
        <v>0</v>
      </c>
      <c r="F40" s="272">
        <v>0</v>
      </c>
      <c r="G40" s="272">
        <v>200</v>
      </c>
      <c r="H40" s="272">
        <v>340</v>
      </c>
      <c r="I40" s="272">
        <v>500</v>
      </c>
      <c r="J40" s="272">
        <v>1060</v>
      </c>
      <c r="K40" s="272">
        <v>1120</v>
      </c>
      <c r="L40" s="272">
        <v>670</v>
      </c>
      <c r="M40" s="272">
        <v>500</v>
      </c>
      <c r="N40" s="272">
        <v>0</v>
      </c>
      <c r="O40" s="272">
        <v>0</v>
      </c>
      <c r="P40" s="87">
        <f t="shared" si="7"/>
        <v>4390</v>
      </c>
      <c r="Q40" s="110"/>
      <c r="R40" s="110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</row>
    <row r="41" spans="1:54" ht="12" customHeight="1">
      <c r="A41" s="35" t="s">
        <v>84</v>
      </c>
      <c r="B41" s="264">
        <v>0</v>
      </c>
      <c r="C41" s="264">
        <v>0</v>
      </c>
      <c r="D41" s="272">
        <v>0</v>
      </c>
      <c r="E41" s="272">
        <v>0</v>
      </c>
      <c r="F41" s="272">
        <v>0</v>
      </c>
      <c r="G41" s="272">
        <v>200</v>
      </c>
      <c r="H41" s="272">
        <v>340</v>
      </c>
      <c r="I41" s="272">
        <v>500</v>
      </c>
      <c r="J41" s="272">
        <v>1060</v>
      </c>
      <c r="K41" s="272">
        <v>1120</v>
      </c>
      <c r="L41" s="272">
        <v>670</v>
      </c>
      <c r="M41" s="272">
        <v>500</v>
      </c>
      <c r="N41" s="272">
        <v>0</v>
      </c>
      <c r="O41" s="272">
        <v>0</v>
      </c>
      <c r="P41" s="87">
        <f t="shared" si="7"/>
        <v>4390</v>
      </c>
      <c r="Q41" s="110"/>
      <c r="R41" s="110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</row>
    <row r="42" spans="1:54" ht="12" customHeight="1">
      <c r="A42" s="24" t="s">
        <v>11</v>
      </c>
      <c r="B42" s="264">
        <v>950</v>
      </c>
      <c r="C42" s="264">
        <v>950</v>
      </c>
      <c r="D42" s="272">
        <v>0</v>
      </c>
      <c r="E42" s="272">
        <v>0</v>
      </c>
      <c r="F42" s="272">
        <v>0</v>
      </c>
      <c r="G42" s="272">
        <v>860</v>
      </c>
      <c r="H42" s="272">
        <v>860</v>
      </c>
      <c r="I42" s="272">
        <v>860</v>
      </c>
      <c r="J42" s="272">
        <v>860</v>
      </c>
      <c r="K42" s="272">
        <v>860</v>
      </c>
      <c r="L42" s="272">
        <v>860</v>
      </c>
      <c r="M42" s="272">
        <v>860</v>
      </c>
      <c r="N42" s="272">
        <v>0</v>
      </c>
      <c r="O42" s="272">
        <v>0</v>
      </c>
      <c r="P42" s="87">
        <f t="shared" si="7"/>
        <v>6020</v>
      </c>
      <c r="Q42" s="110"/>
      <c r="R42" s="110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</row>
    <row r="43" spans="1:54" ht="12" customHeight="1">
      <c r="A43" s="34" t="s">
        <v>12</v>
      </c>
      <c r="B43" s="264">
        <v>16700</v>
      </c>
      <c r="C43" s="264">
        <v>17825</v>
      </c>
      <c r="D43" s="272">
        <v>0</v>
      </c>
      <c r="E43" s="272">
        <v>0</v>
      </c>
      <c r="F43" s="272">
        <v>0</v>
      </c>
      <c r="G43" s="272">
        <v>800</v>
      </c>
      <c r="H43" s="272">
        <v>1380</v>
      </c>
      <c r="I43" s="272">
        <v>2085</v>
      </c>
      <c r="J43" s="272">
        <v>4555</v>
      </c>
      <c r="K43" s="272">
        <v>5018</v>
      </c>
      <c r="L43" s="272">
        <v>2975</v>
      </c>
      <c r="M43" s="272">
        <v>2205</v>
      </c>
      <c r="N43" s="272">
        <v>0</v>
      </c>
      <c r="O43" s="272">
        <v>0</v>
      </c>
      <c r="P43" s="87">
        <f t="shared" si="7"/>
        <v>19018</v>
      </c>
      <c r="Q43" s="110"/>
      <c r="R43" s="110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</row>
    <row r="44" spans="1:54" ht="12" customHeight="1">
      <c r="A44" s="35" t="s">
        <v>2</v>
      </c>
      <c r="B44" s="264">
        <v>0</v>
      </c>
      <c r="C44" s="265">
        <v>0</v>
      </c>
      <c r="D44" s="273">
        <v>0</v>
      </c>
      <c r="E44" s="273">
        <v>0</v>
      </c>
      <c r="F44" s="273">
        <v>0</v>
      </c>
      <c r="G44" s="273">
        <v>0</v>
      </c>
      <c r="H44" s="273">
        <v>0</v>
      </c>
      <c r="I44" s="273">
        <v>0</v>
      </c>
      <c r="J44" s="273">
        <v>0</v>
      </c>
      <c r="K44" s="273">
        <v>0</v>
      </c>
      <c r="L44" s="273">
        <v>0</v>
      </c>
      <c r="M44" s="273">
        <v>0</v>
      </c>
      <c r="N44" s="273">
        <v>0</v>
      </c>
      <c r="O44" s="273">
        <v>0</v>
      </c>
      <c r="P44" s="88">
        <f t="shared" si="7"/>
        <v>0</v>
      </c>
      <c r="Q44" s="110"/>
      <c r="R44" s="110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</row>
    <row r="45" spans="1:54" s="80" customFormat="1" ht="12" customHeight="1">
      <c r="A45" s="86" t="s">
        <v>73</v>
      </c>
      <c r="B45" s="89">
        <f>SUM(B40:B44)</f>
        <v>25408</v>
      </c>
      <c r="C45" s="89">
        <f aca="true" t="shared" si="11" ref="C45:P45">SUM(C40:C44)</f>
        <v>27028</v>
      </c>
      <c r="D45" s="89">
        <f t="shared" si="11"/>
        <v>0</v>
      </c>
      <c r="E45" s="89">
        <f t="shared" si="11"/>
        <v>0</v>
      </c>
      <c r="F45" s="89">
        <f t="shared" si="11"/>
        <v>0</v>
      </c>
      <c r="G45" s="89">
        <f t="shared" si="11"/>
        <v>2060</v>
      </c>
      <c r="H45" s="89">
        <f t="shared" si="11"/>
        <v>2920</v>
      </c>
      <c r="I45" s="89">
        <f t="shared" si="11"/>
        <v>3945</v>
      </c>
      <c r="J45" s="89">
        <f t="shared" si="11"/>
        <v>7535</v>
      </c>
      <c r="K45" s="89">
        <f t="shared" si="11"/>
        <v>8118</v>
      </c>
      <c r="L45" s="89">
        <f t="shared" si="11"/>
        <v>5175</v>
      </c>
      <c r="M45" s="89">
        <f t="shared" si="11"/>
        <v>4065</v>
      </c>
      <c r="N45" s="89">
        <f t="shared" si="11"/>
        <v>0</v>
      </c>
      <c r="O45" s="89">
        <f t="shared" si="11"/>
        <v>0</v>
      </c>
      <c r="P45" s="89">
        <f t="shared" si="11"/>
        <v>33818</v>
      </c>
      <c r="Q45" s="61"/>
      <c r="R45" s="61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</row>
    <row r="46" spans="1:54" ht="14.25" customHeight="1">
      <c r="A46" s="44" t="s">
        <v>10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10"/>
      <c r="R46" s="110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</row>
    <row r="47" spans="1:54" ht="12" customHeight="1">
      <c r="A47" s="45" t="s">
        <v>74</v>
      </c>
      <c r="B47" s="33">
        <f>B36-B45</f>
        <v>44414</v>
      </c>
      <c r="C47" s="33">
        <f>C36-C45</f>
        <v>49317</v>
      </c>
      <c r="D47" s="90">
        <f>D26-D45</f>
        <v>0</v>
      </c>
      <c r="E47" s="90">
        <f>E26-E45</f>
        <v>0</v>
      </c>
      <c r="F47" s="90">
        <f>F26-F45</f>
        <v>0</v>
      </c>
      <c r="G47" s="91">
        <f aca="true" t="shared" si="12" ref="G47:M47">G36-G45</f>
        <v>-1740</v>
      </c>
      <c r="H47" s="90">
        <f t="shared" si="12"/>
        <v>3031</v>
      </c>
      <c r="I47" s="90">
        <f t="shared" si="12"/>
        <v>4035</v>
      </c>
      <c r="J47" s="90">
        <f t="shared" si="12"/>
        <v>9292</v>
      </c>
      <c r="K47" s="90">
        <f t="shared" si="12"/>
        <v>7660</v>
      </c>
      <c r="L47" s="90">
        <f t="shared" si="12"/>
        <v>7310</v>
      </c>
      <c r="M47" s="90">
        <f t="shared" si="12"/>
        <v>8670</v>
      </c>
      <c r="N47" s="90">
        <f>N26-N45</f>
        <v>0</v>
      </c>
      <c r="O47" s="90">
        <f>O26-O45</f>
        <v>0</v>
      </c>
      <c r="P47" s="90">
        <f>P36-P45</f>
        <v>38258</v>
      </c>
      <c r="Q47" s="110"/>
      <c r="R47" s="110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</row>
    <row r="48" spans="1:54" ht="12" customHeight="1">
      <c r="A48" s="53" t="s">
        <v>7</v>
      </c>
      <c r="B48" s="39">
        <f>IF(B15=0,0,B47/B15)</f>
        <v>0.22899716421758184</v>
      </c>
      <c r="C48" s="39">
        <f>IF(C15=0,0,C47/C15)</f>
        <v>0.23902001647845683</v>
      </c>
      <c r="D48" s="39">
        <f>IF(D15=0,0,D47/D15)</f>
        <v>0</v>
      </c>
      <c r="E48" s="39">
        <f aca="true" t="shared" si="13" ref="E48:P48">IF(E15=0,0,E47/E15)</f>
        <v>0</v>
      </c>
      <c r="F48" s="39">
        <f t="shared" si="13"/>
        <v>0</v>
      </c>
      <c r="G48" s="165">
        <f t="shared" si="13"/>
        <v>-0.20470588235294118</v>
      </c>
      <c r="H48" s="39">
        <f t="shared" si="13"/>
        <v>0.17829411764705883</v>
      </c>
      <c r="I48" s="39">
        <f t="shared" si="13"/>
        <v>0.168125</v>
      </c>
      <c r="J48" s="39">
        <f t="shared" si="13"/>
        <v>0.19358333333333333</v>
      </c>
      <c r="K48" s="39">
        <f t="shared" si="13"/>
        <v>0.15632653061224488</v>
      </c>
      <c r="L48" s="39">
        <f t="shared" si="13"/>
        <v>0.239672131147541</v>
      </c>
      <c r="M48" s="39">
        <f t="shared" si="13"/>
        <v>0.3896629213483146</v>
      </c>
      <c r="N48" s="39">
        <f t="shared" si="13"/>
        <v>0</v>
      </c>
      <c r="O48" s="39">
        <f t="shared" si="13"/>
        <v>0</v>
      </c>
      <c r="P48" s="39">
        <f t="shared" si="13"/>
        <v>0.19201003764115432</v>
      </c>
      <c r="Q48" s="110"/>
      <c r="R48" s="110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</row>
    <row r="49" spans="1:54" ht="12" customHeight="1">
      <c r="A49" s="5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10"/>
      <c r="R49" s="110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</row>
    <row r="50" spans="1:54" s="149" customFormat="1" ht="12" customHeight="1">
      <c r="A50" s="152" t="s">
        <v>13</v>
      </c>
      <c r="B50" s="266">
        <v>10500</v>
      </c>
      <c r="C50" s="266">
        <v>10500</v>
      </c>
      <c r="D50" s="266">
        <v>0</v>
      </c>
      <c r="E50" s="266">
        <v>0</v>
      </c>
      <c r="F50" s="266">
        <v>0</v>
      </c>
      <c r="G50" s="266">
        <v>1500</v>
      </c>
      <c r="H50" s="266">
        <v>1500</v>
      </c>
      <c r="I50" s="266">
        <v>1500</v>
      </c>
      <c r="J50" s="266">
        <v>1500</v>
      </c>
      <c r="K50" s="266">
        <v>1500</v>
      </c>
      <c r="L50" s="266">
        <v>1500</v>
      </c>
      <c r="M50" s="266">
        <v>1500</v>
      </c>
      <c r="N50" s="266">
        <v>0</v>
      </c>
      <c r="O50" s="266">
        <v>0</v>
      </c>
      <c r="P50" s="115">
        <f>SUM(D50:O50)</f>
        <v>10500</v>
      </c>
      <c r="Q50" s="218"/>
      <c r="R50" s="21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</row>
    <row r="51" spans="1:28" s="61" customFormat="1" ht="12" customHeight="1">
      <c r="A51" s="150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110"/>
      <c r="R51" s="110"/>
      <c r="S51" s="58"/>
      <c r="T51" s="58"/>
      <c r="U51" s="58"/>
      <c r="V51" s="58"/>
      <c r="W51" s="58"/>
      <c r="X51" s="58"/>
      <c r="Y51" s="58"/>
      <c r="Z51" s="58"/>
      <c r="AA51" s="58"/>
      <c r="AB51" s="58"/>
    </row>
    <row r="52" spans="1:54" s="151" customFormat="1" ht="12" customHeight="1" thickBot="1">
      <c r="A52" s="129" t="s">
        <v>14</v>
      </c>
      <c r="B52" s="130">
        <f aca="true" t="shared" si="14" ref="B52:P52">B47-B50</f>
        <v>33914</v>
      </c>
      <c r="C52" s="130">
        <f t="shared" si="14"/>
        <v>38817</v>
      </c>
      <c r="D52" s="130">
        <f t="shared" si="14"/>
        <v>0</v>
      </c>
      <c r="E52" s="130">
        <f t="shared" si="14"/>
        <v>0</v>
      </c>
      <c r="F52" s="130">
        <f t="shared" si="14"/>
        <v>0</v>
      </c>
      <c r="G52" s="130">
        <f t="shared" si="14"/>
        <v>-3240</v>
      </c>
      <c r="H52" s="130">
        <f t="shared" si="14"/>
        <v>1531</v>
      </c>
      <c r="I52" s="130">
        <f t="shared" si="14"/>
        <v>2535</v>
      </c>
      <c r="J52" s="130">
        <f t="shared" si="14"/>
        <v>7792</v>
      </c>
      <c r="K52" s="130">
        <f t="shared" si="14"/>
        <v>6160</v>
      </c>
      <c r="L52" s="130">
        <f t="shared" si="14"/>
        <v>5810</v>
      </c>
      <c r="M52" s="130">
        <f t="shared" si="14"/>
        <v>7170</v>
      </c>
      <c r="N52" s="130">
        <f t="shared" si="14"/>
        <v>0</v>
      </c>
      <c r="O52" s="130">
        <f t="shared" si="14"/>
        <v>0</v>
      </c>
      <c r="P52" s="130">
        <f t="shared" si="14"/>
        <v>27758</v>
      </c>
      <c r="Q52" s="110"/>
      <c r="R52" s="110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</row>
    <row r="53" spans="1:54" s="38" customFormat="1" ht="12" customHeight="1">
      <c r="A53" s="36" t="s">
        <v>7</v>
      </c>
      <c r="B53" s="39">
        <f aca="true" t="shared" si="15" ref="B53:P53">IF(B15=0,0,B52/B15)</f>
        <v>0.1748594998711008</v>
      </c>
      <c r="C53" s="39">
        <f t="shared" si="15"/>
        <v>0.18813066446953908</v>
      </c>
      <c r="D53" s="39">
        <f t="shared" si="15"/>
        <v>0</v>
      </c>
      <c r="E53" s="39">
        <f t="shared" si="15"/>
        <v>0</v>
      </c>
      <c r="F53" s="39">
        <f t="shared" si="15"/>
        <v>0</v>
      </c>
      <c r="G53" s="165">
        <f t="shared" si="15"/>
        <v>-0.3811764705882353</v>
      </c>
      <c r="H53" s="39">
        <f t="shared" si="15"/>
        <v>0.09005882352941176</v>
      </c>
      <c r="I53" s="39">
        <f t="shared" si="15"/>
        <v>0.105625</v>
      </c>
      <c r="J53" s="39">
        <f t="shared" si="15"/>
        <v>0.16233333333333333</v>
      </c>
      <c r="K53" s="39">
        <f t="shared" si="15"/>
        <v>0.12571428571428572</v>
      </c>
      <c r="L53" s="39">
        <f t="shared" si="15"/>
        <v>0.19049180327868853</v>
      </c>
      <c r="M53" s="39">
        <f t="shared" si="15"/>
        <v>0.32224719101123595</v>
      </c>
      <c r="N53" s="39">
        <f t="shared" si="15"/>
        <v>0</v>
      </c>
      <c r="O53" s="39">
        <f t="shared" si="15"/>
        <v>0</v>
      </c>
      <c r="P53" s="39">
        <f t="shared" si="15"/>
        <v>0.1393124215809285</v>
      </c>
      <c r="Q53" s="214"/>
      <c r="R53" s="214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</row>
    <row r="54" spans="1:54" ht="12.75">
      <c r="A54"/>
      <c r="B54" s="1"/>
      <c r="D54"/>
      <c r="E54"/>
      <c r="F54"/>
      <c r="G54"/>
      <c r="H54"/>
      <c r="I54"/>
      <c r="J54"/>
      <c r="K54"/>
      <c r="L54"/>
      <c r="M54"/>
      <c r="N54"/>
      <c r="O54"/>
      <c r="P54" s="22"/>
      <c r="Q54" s="110"/>
      <c r="R54" s="110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</row>
    <row r="55" spans="1:54" ht="13.5" thickBot="1">
      <c r="A55" s="52" t="s">
        <v>76</v>
      </c>
      <c r="B55" s="109">
        <f>IF(B52&gt;0,B52,0)</f>
        <v>33914</v>
      </c>
      <c r="C55" s="109">
        <f>IF(C52&gt;0,C52,0)</f>
        <v>38817</v>
      </c>
      <c r="D55" s="109">
        <f>IF(D52&gt;0,D52,0)</f>
        <v>0</v>
      </c>
      <c r="E55" s="109">
        <f aca="true" t="shared" si="16" ref="E55:P55">IF(E52&gt;0,E52,0)</f>
        <v>0</v>
      </c>
      <c r="F55" s="109">
        <f t="shared" si="16"/>
        <v>0</v>
      </c>
      <c r="G55" s="109">
        <f t="shared" si="16"/>
        <v>0</v>
      </c>
      <c r="H55" s="109">
        <f t="shared" si="16"/>
        <v>1531</v>
      </c>
      <c r="I55" s="109">
        <f t="shared" si="16"/>
        <v>2535</v>
      </c>
      <c r="J55" s="109">
        <f t="shared" si="16"/>
        <v>7792</v>
      </c>
      <c r="K55" s="109">
        <f t="shared" si="16"/>
        <v>6160</v>
      </c>
      <c r="L55" s="109">
        <f t="shared" si="16"/>
        <v>5810</v>
      </c>
      <c r="M55" s="109">
        <f t="shared" si="16"/>
        <v>7170</v>
      </c>
      <c r="N55" s="109">
        <f t="shared" si="16"/>
        <v>0</v>
      </c>
      <c r="O55" s="109">
        <f t="shared" si="16"/>
        <v>0</v>
      </c>
      <c r="P55" s="109">
        <f t="shared" si="16"/>
        <v>27758</v>
      </c>
      <c r="Q55" s="110"/>
      <c r="R55" s="110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</row>
    <row r="56" spans="4:54" ht="12.75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22"/>
      <c r="Q56" s="110"/>
      <c r="R56" s="110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</row>
    <row r="57" spans="17:54" ht="12.75">
      <c r="Q57" s="110"/>
      <c r="R57" s="110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</row>
    <row r="58" spans="1:54" ht="18.75">
      <c r="A58" s="71"/>
      <c r="K58" s="66"/>
      <c r="Q58" s="110"/>
      <c r="R58" s="110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</row>
    <row r="59" spans="17:54" ht="12.75">
      <c r="Q59" s="110"/>
      <c r="R59" s="110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</row>
    <row r="60" spans="17:54" ht="12.75">
      <c r="Q60" s="110"/>
      <c r="R60" s="110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</row>
    <row r="61" spans="17:54" ht="12.75">
      <c r="Q61" s="110"/>
      <c r="R61" s="110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</row>
    <row r="62" spans="17:54" ht="12.75">
      <c r="Q62" s="110"/>
      <c r="R62" s="110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</row>
    <row r="63" spans="17:54" ht="12.75">
      <c r="Q63" s="110"/>
      <c r="R63" s="110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</row>
    <row r="64" spans="17:54" ht="12.75">
      <c r="Q64" s="110"/>
      <c r="R64" s="110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</row>
    <row r="65" spans="17:54" ht="12.75">
      <c r="Q65" s="110"/>
      <c r="R65" s="110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</row>
    <row r="66" spans="17:54" ht="12.75">
      <c r="Q66" s="110"/>
      <c r="R66" s="110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</row>
    <row r="67" spans="17:54" ht="12.75">
      <c r="Q67" s="110"/>
      <c r="R67" s="110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</row>
    <row r="68" spans="17:54" ht="12.75">
      <c r="Q68" s="110"/>
      <c r="R68" s="110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</row>
    <row r="69" spans="17:54" ht="12.75">
      <c r="Q69" s="110"/>
      <c r="R69" s="110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</row>
    <row r="70" spans="17:54" ht="12.75">
      <c r="Q70" s="110"/>
      <c r="R70" s="110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</row>
  </sheetData>
  <sheetProtection/>
  <mergeCells count="2">
    <mergeCell ref="D2:P2"/>
    <mergeCell ref="B2:C2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orientation="landscape" scale="78" r:id="rId1"/>
  <headerFooter alignWithMargins="0">
    <oddHeader>&amp;C&amp;"Times New Roman,Bold"&amp;11Acme Wilderness Motel
Income &amp; Expense Statement&amp;R&amp;"Times New Roman,Bold"&amp;11Historic  Model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0"/>
  <sheetViews>
    <sheetView zoomScalePageLayoutView="0" workbookViewId="0" topLeftCell="F1">
      <selection activeCell="E5" sqref="E5"/>
    </sheetView>
  </sheetViews>
  <sheetFormatPr defaultColWidth="9.33203125" defaultRowHeight="12.75"/>
  <cols>
    <col min="1" max="1" width="34.83203125" style="134" customWidth="1"/>
    <col min="2" max="14" width="10.66015625" style="134" customWidth="1"/>
    <col min="15" max="16" width="9.33203125" style="74" customWidth="1"/>
    <col min="17" max="16384" width="9.33203125" style="127" customWidth="1"/>
  </cols>
  <sheetData>
    <row r="3" spans="2:16" ht="12.75">
      <c r="B3" s="316" t="s">
        <v>190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</row>
    <row r="4" spans="2:16" ht="13.5" thickBot="1">
      <c r="B4" s="276">
        <v>0</v>
      </c>
      <c r="C4" s="276">
        <v>0</v>
      </c>
      <c r="D4" s="276">
        <v>0</v>
      </c>
      <c r="E4" s="276">
        <v>0.01</v>
      </c>
      <c r="F4" s="276">
        <v>0.03</v>
      </c>
      <c r="G4" s="276">
        <v>0.05</v>
      </c>
      <c r="H4" s="276">
        <v>0.07</v>
      </c>
      <c r="I4" s="276">
        <v>0.07</v>
      </c>
      <c r="J4" s="276">
        <v>0.03</v>
      </c>
      <c r="K4" s="276">
        <v>0.02</v>
      </c>
      <c r="L4" s="276">
        <v>0</v>
      </c>
      <c r="M4" s="276">
        <v>0</v>
      </c>
      <c r="N4" s="249">
        <f>AVERAGE(B4:M4)</f>
        <v>0.023333333333333334</v>
      </c>
      <c r="O4" s="274">
        <v>0.03</v>
      </c>
      <c r="P4" s="274">
        <v>0.03</v>
      </c>
    </row>
    <row r="5" spans="2:14" ht="12.75"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</row>
    <row r="6" spans="1:16" ht="12.75">
      <c r="A6" s="135"/>
      <c r="B6" s="314" t="s">
        <v>191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5"/>
      <c r="P6" s="315"/>
    </row>
    <row r="7" spans="1:16" ht="15.75">
      <c r="A7" s="62"/>
      <c r="B7" s="153" t="s">
        <v>48</v>
      </c>
      <c r="C7" s="153" t="s">
        <v>49</v>
      </c>
      <c r="D7" s="153" t="s">
        <v>50</v>
      </c>
      <c r="E7" s="153" t="s">
        <v>51</v>
      </c>
      <c r="F7" s="153" t="s">
        <v>52</v>
      </c>
      <c r="G7" s="153" t="s">
        <v>53</v>
      </c>
      <c r="H7" s="153" t="s">
        <v>54</v>
      </c>
      <c r="I7" s="153" t="s">
        <v>55</v>
      </c>
      <c r="J7" s="153" t="s">
        <v>56</v>
      </c>
      <c r="K7" s="153" t="s">
        <v>57</v>
      </c>
      <c r="L7" s="153" t="s">
        <v>58</v>
      </c>
      <c r="M7" s="153" t="s">
        <v>59</v>
      </c>
      <c r="N7" s="153" t="s">
        <v>153</v>
      </c>
      <c r="O7" s="107" t="s">
        <v>155</v>
      </c>
      <c r="P7" s="107" t="s">
        <v>156</v>
      </c>
    </row>
    <row r="8" spans="1:14" ht="12.75">
      <c r="A8" s="52" t="s">
        <v>39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6" ht="12.75">
      <c r="A9" s="66" t="s">
        <v>79</v>
      </c>
      <c r="B9" s="211">
        <f>Historical!D5</f>
        <v>0</v>
      </c>
      <c r="C9" s="211">
        <f>Historical!E5</f>
        <v>0</v>
      </c>
      <c r="D9" s="211">
        <f>Historical!F5</f>
        <v>0</v>
      </c>
      <c r="E9" s="211">
        <f>Historical!G5</f>
        <v>450</v>
      </c>
      <c r="F9" s="211">
        <f>Historical!H5</f>
        <v>465</v>
      </c>
      <c r="G9" s="211">
        <f>Historical!I5</f>
        <v>450</v>
      </c>
      <c r="H9" s="211">
        <f>Historical!J5</f>
        <v>465</v>
      </c>
      <c r="I9" s="211">
        <f>Historical!K5</f>
        <v>465</v>
      </c>
      <c r="J9" s="211">
        <f>Historical!L5</f>
        <v>450</v>
      </c>
      <c r="K9" s="211">
        <f>Historical!M5</f>
        <v>465</v>
      </c>
      <c r="L9" s="211">
        <f>Historical!N5</f>
        <v>0</v>
      </c>
      <c r="M9" s="211">
        <f>Historical!O5</f>
        <v>0</v>
      </c>
      <c r="N9" s="12">
        <f>SUM(B9:M9)</f>
        <v>3210</v>
      </c>
      <c r="O9" s="250">
        <v>3210</v>
      </c>
      <c r="P9" s="250">
        <v>3210</v>
      </c>
    </row>
    <row r="10" spans="1:16" ht="12.75">
      <c r="A10" s="68" t="s">
        <v>80</v>
      </c>
      <c r="B10" s="212">
        <f>Historical!D6+(Historical!D6*Future!B4)</f>
        <v>0</v>
      </c>
      <c r="C10" s="212">
        <f>Historical!E6+(Historical!E6*Future!C4)</f>
        <v>0</v>
      </c>
      <c r="D10" s="212">
        <f>Historical!F6+(Historical!F6*Future!D4)</f>
        <v>0</v>
      </c>
      <c r="E10" s="212">
        <f>Historical!G6+(Historical!G6*Future!E4)</f>
        <v>61.61</v>
      </c>
      <c r="F10" s="212">
        <f>Historical!H6+(Historical!H6*Future!F4)</f>
        <v>158.62</v>
      </c>
      <c r="G10" s="212">
        <f>Historical!I6+(Historical!I6*Future!G4)</f>
        <v>195.3</v>
      </c>
      <c r="H10" s="212">
        <f>Historical!J6+(Historical!J6*Future!H4)</f>
        <v>380.92</v>
      </c>
      <c r="I10" s="212">
        <f>Historical!K6+(Historical!K6*Future!I4)</f>
        <v>380.92</v>
      </c>
      <c r="J10" s="212">
        <f>Historical!L6+(Historical!L6*Future!J4)</f>
        <v>301.79</v>
      </c>
      <c r="K10" s="212">
        <f>Historical!M6+(Historical!M6*Future!K4)</f>
        <v>250.92</v>
      </c>
      <c r="L10" s="212">
        <f>Historical!N6+(Historical!N6*Future!L4)</f>
        <v>0</v>
      </c>
      <c r="M10" s="212">
        <f>Historical!O6+(Historical!O6*Future!M4)</f>
        <v>0</v>
      </c>
      <c r="N10" s="12">
        <f>SUM(B10:M10)</f>
        <v>1730.0800000000002</v>
      </c>
      <c r="O10" s="75">
        <f>N10+(N10*$O$4)</f>
        <v>1781.9824</v>
      </c>
      <c r="P10" s="75">
        <f>O10+(O10*$P$4)</f>
        <v>1835.441872</v>
      </c>
    </row>
    <row r="11" spans="1:16" ht="12.75">
      <c r="A11" s="68" t="s">
        <v>81</v>
      </c>
      <c r="B11" s="122">
        <f>IF(B10=0,0,B10/B9)</f>
        <v>0</v>
      </c>
      <c r="C11" s="122">
        <f aca="true" t="shared" si="0" ref="C11:N11">IF(C10=0,0,C10/C9)</f>
        <v>0</v>
      </c>
      <c r="D11" s="122">
        <f t="shared" si="0"/>
        <v>0</v>
      </c>
      <c r="E11" s="122">
        <f t="shared" si="0"/>
        <v>0.13691111111111112</v>
      </c>
      <c r="F11" s="122">
        <f t="shared" si="0"/>
        <v>0.3411182795698925</v>
      </c>
      <c r="G11" s="122">
        <f t="shared" si="0"/>
        <v>0.43400000000000005</v>
      </c>
      <c r="H11" s="122">
        <f t="shared" si="0"/>
        <v>0.8191827956989247</v>
      </c>
      <c r="I11" s="122">
        <f t="shared" si="0"/>
        <v>0.8191827956989247</v>
      </c>
      <c r="J11" s="122">
        <f t="shared" si="0"/>
        <v>0.6706444444444445</v>
      </c>
      <c r="K11" s="122">
        <f t="shared" si="0"/>
        <v>0.5396129032258065</v>
      </c>
      <c r="L11" s="122">
        <f t="shared" si="0"/>
        <v>0</v>
      </c>
      <c r="M11" s="122">
        <f t="shared" si="0"/>
        <v>0</v>
      </c>
      <c r="N11" s="122">
        <f t="shared" si="0"/>
        <v>0.5389657320872274</v>
      </c>
      <c r="O11" s="167">
        <f>O10/O9</f>
        <v>0.5551347040498442</v>
      </c>
      <c r="P11" s="167">
        <f>P10/P9</f>
        <v>0.5717887451713396</v>
      </c>
    </row>
    <row r="12" spans="1:16" ht="12.75">
      <c r="A12" s="68" t="s">
        <v>82</v>
      </c>
      <c r="B12" s="275">
        <v>65</v>
      </c>
      <c r="C12" s="275">
        <v>68</v>
      </c>
      <c r="D12" s="275">
        <v>68</v>
      </c>
      <c r="E12" s="275">
        <v>68</v>
      </c>
      <c r="F12" s="275">
        <v>72</v>
      </c>
      <c r="G12" s="275">
        <v>77</v>
      </c>
      <c r="H12" s="275">
        <v>95</v>
      </c>
      <c r="I12" s="275">
        <v>95</v>
      </c>
      <c r="J12" s="275">
        <v>77</v>
      </c>
      <c r="K12" s="275">
        <v>68</v>
      </c>
      <c r="L12" s="275">
        <v>68</v>
      </c>
      <c r="M12" s="275">
        <v>68</v>
      </c>
      <c r="N12" s="70">
        <f>IF(N14=0,0,N14/N10)</f>
        <v>82.84207088689539</v>
      </c>
      <c r="O12" s="275">
        <v>85.23</v>
      </c>
      <c r="P12" s="275">
        <v>86.95</v>
      </c>
    </row>
    <row r="13" spans="2:14" ht="12.7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6" ht="12.75">
      <c r="A14" s="66" t="s">
        <v>41</v>
      </c>
      <c r="B14" s="251">
        <f>B10*B12</f>
        <v>0</v>
      </c>
      <c r="C14" s="251">
        <f aca="true" t="shared" si="1" ref="C14:M14">C10*C12</f>
        <v>0</v>
      </c>
      <c r="D14" s="251">
        <f t="shared" si="1"/>
        <v>0</v>
      </c>
      <c r="E14" s="251">
        <f t="shared" si="1"/>
        <v>4189.48</v>
      </c>
      <c r="F14" s="251">
        <f t="shared" si="1"/>
        <v>11420.64</v>
      </c>
      <c r="G14" s="251">
        <f t="shared" si="1"/>
        <v>15038.1</v>
      </c>
      <c r="H14" s="251">
        <f t="shared" si="1"/>
        <v>36187.4</v>
      </c>
      <c r="I14" s="251">
        <f t="shared" si="1"/>
        <v>36187.4</v>
      </c>
      <c r="J14" s="251">
        <f t="shared" si="1"/>
        <v>23237.83</v>
      </c>
      <c r="K14" s="251">
        <f t="shared" si="1"/>
        <v>17062.559999999998</v>
      </c>
      <c r="L14" s="251">
        <f t="shared" si="1"/>
        <v>0</v>
      </c>
      <c r="M14" s="251">
        <f t="shared" si="1"/>
        <v>0</v>
      </c>
      <c r="N14" s="93">
        <f>SUM(B14:M14)</f>
        <v>143323.40999999997</v>
      </c>
      <c r="O14" s="123">
        <f>O10*O12</f>
        <v>151878.35995200003</v>
      </c>
      <c r="P14" s="123">
        <f>P10*P12</f>
        <v>159591.6707704</v>
      </c>
    </row>
    <row r="15" spans="1:16" ht="12.75">
      <c r="A15" s="66" t="s">
        <v>60</v>
      </c>
      <c r="B15" s="93">
        <f>Historical!D11+(B$4*Historical!D11)</f>
        <v>0</v>
      </c>
      <c r="C15" s="93">
        <f>Historical!E11+(C$4*Historical!E11)</f>
        <v>0</v>
      </c>
      <c r="D15" s="93">
        <f>Historical!F11+(D$4*Historical!F11)</f>
        <v>0</v>
      </c>
      <c r="E15" s="93">
        <f>Historical!G11+(E$4*Historical!G11)</f>
        <v>0</v>
      </c>
      <c r="F15" s="93">
        <f>Historical!H11+(F$4*Historical!H11)</f>
        <v>2060</v>
      </c>
      <c r="G15" s="93">
        <f>Historical!I11+(G$4*Historical!I11)</f>
        <v>4200</v>
      </c>
      <c r="H15" s="93">
        <f>Historical!J11+(H$4*Historical!J11)</f>
        <v>9630</v>
      </c>
      <c r="I15" s="93">
        <f>Historical!K11+(I$4*Historical!K11)</f>
        <v>9630</v>
      </c>
      <c r="J15" s="93">
        <f>Historical!L11+(J$4*Historical!L11)</f>
        <v>7210</v>
      </c>
      <c r="K15" s="93">
        <f>Historical!M11+(K$4*Historical!M11)</f>
        <v>5100</v>
      </c>
      <c r="L15" s="93">
        <f>Historical!N11+(L$4*Historical!N11)</f>
        <v>0</v>
      </c>
      <c r="M15" s="93">
        <f>Historical!O11+(M$4*Historical!O11)</f>
        <v>0</v>
      </c>
      <c r="N15" s="93">
        <f>SUM(B15:M15)</f>
        <v>37830</v>
      </c>
      <c r="O15" s="75">
        <f>N15+(N15*$O$4)</f>
        <v>38964.9</v>
      </c>
      <c r="P15" s="123">
        <f>O15+(O15*$P$4)</f>
        <v>40133.847</v>
      </c>
    </row>
    <row r="16" spans="1:16" ht="12.75">
      <c r="A16" s="66" t="s">
        <v>1</v>
      </c>
      <c r="B16" s="93">
        <f>Historical!D12+(B$4*Historical!D12)</f>
        <v>0</v>
      </c>
      <c r="C16" s="93">
        <f>Historical!E12+(C$4*Historical!E12)</f>
        <v>0</v>
      </c>
      <c r="D16" s="93">
        <f>Historical!F12+(D$4*Historical!F12)</f>
        <v>0</v>
      </c>
      <c r="E16" s="93">
        <f>Historical!G12+(E$4*Historical!G12)</f>
        <v>505</v>
      </c>
      <c r="F16" s="93">
        <f>Historical!H12+(F$4*Historical!H12)</f>
        <v>3090</v>
      </c>
      <c r="G16" s="93">
        <f>Historical!I12+(G$4*Historical!I12)</f>
        <v>3150</v>
      </c>
      <c r="H16" s="93">
        <f>Historical!J12+(H$4*Historical!J12)</f>
        <v>5350</v>
      </c>
      <c r="I16" s="93">
        <f>Historical!K12+(I$4*Historical!K12)</f>
        <v>5350</v>
      </c>
      <c r="J16" s="93">
        <f>Historical!L12+(J$4*Historical!L12)</f>
        <v>4120</v>
      </c>
      <c r="K16" s="93">
        <f>Historical!M12+(K$4*Historical!M12)</f>
        <v>3060</v>
      </c>
      <c r="L16" s="93">
        <f>Historical!N12+(L$4*Historical!N12)</f>
        <v>0</v>
      </c>
      <c r="M16" s="93">
        <f>Historical!O12+(M$4*Historical!O12)</f>
        <v>0</v>
      </c>
      <c r="N16" s="93">
        <f>SUM(B16:M16)</f>
        <v>24625</v>
      </c>
      <c r="O16" s="75">
        <f>N16+(N16*$O$4)</f>
        <v>25363.75</v>
      </c>
      <c r="P16" s="123">
        <f>O16+(O16*$P$4)</f>
        <v>26124.6625</v>
      </c>
    </row>
    <row r="17" spans="1:16" ht="12.75">
      <c r="A17" s="66" t="s">
        <v>61</v>
      </c>
      <c r="B17" s="93">
        <f>Historical!D13+(B$4*Historical!D13)</f>
        <v>0</v>
      </c>
      <c r="C17" s="93">
        <f>Historical!E13+(C$4*Historical!E13)</f>
        <v>0</v>
      </c>
      <c r="D17" s="93">
        <f>Historical!F13+(D$4*Historical!F13)</f>
        <v>0</v>
      </c>
      <c r="E17" s="93">
        <f>Historical!G13+(E$4*Historical!G13)</f>
        <v>4040</v>
      </c>
      <c r="F17" s="93">
        <f>Historical!H13+(F$4*Historical!H13)</f>
        <v>2060</v>
      </c>
      <c r="G17" s="93">
        <f>Historical!I13+(G$4*Historical!I13)</f>
        <v>4200</v>
      </c>
      <c r="H17" s="93">
        <f>Historical!J13+(H$4*Historical!J13)</f>
        <v>2140</v>
      </c>
      <c r="I17" s="93">
        <f>Historical!K13+(I$4*Historical!K13)</f>
        <v>5350</v>
      </c>
      <c r="J17" s="93">
        <f>Historical!L13+(J$4*Historical!L13)</f>
        <v>515</v>
      </c>
      <c r="K17" s="93">
        <f>Historical!M13+(K$4*Historical!M13)</f>
        <v>255</v>
      </c>
      <c r="L17" s="93">
        <f>Historical!N13+(L$4*Historical!N13)</f>
        <v>0</v>
      </c>
      <c r="M17" s="93">
        <f>Historical!O13+(M$4*Historical!O13)</f>
        <v>0</v>
      </c>
      <c r="N17" s="93">
        <f>SUM(B17:M17)</f>
        <v>18560</v>
      </c>
      <c r="O17" s="75">
        <f>N17+(N17*$O$4)</f>
        <v>19116.8</v>
      </c>
      <c r="P17" s="123">
        <f>O17+(O17*$P$4)</f>
        <v>19690.304</v>
      </c>
    </row>
    <row r="18" spans="1:16" ht="12.75">
      <c r="A18" s="66" t="s">
        <v>2</v>
      </c>
      <c r="B18" s="93">
        <f>Historical!D14+(B$4*Historical!D14)</f>
        <v>0</v>
      </c>
      <c r="C18" s="93">
        <f>Historical!E14+(C$4*Historical!E14)</f>
        <v>0</v>
      </c>
      <c r="D18" s="93">
        <f>Historical!F14+(D$4*Historical!F14)</f>
        <v>0</v>
      </c>
      <c r="E18" s="93">
        <f>Historical!G14+(E$4*Historical!G14)</f>
        <v>0</v>
      </c>
      <c r="F18" s="93">
        <f>Historical!H14+(F$4*Historical!H14)</f>
        <v>0</v>
      </c>
      <c r="G18" s="93">
        <f>Historical!I14+(G$4*Historical!I14)</f>
        <v>0</v>
      </c>
      <c r="H18" s="93">
        <f>Historical!J14+(H$4*Historical!J14)</f>
        <v>0</v>
      </c>
      <c r="I18" s="93">
        <f>Historical!K14+(I$4*Historical!K14)</f>
        <v>0</v>
      </c>
      <c r="J18" s="93">
        <f>Historical!L14+(J$4*Historical!L14)</f>
        <v>0</v>
      </c>
      <c r="K18" s="93">
        <f>Historical!M14+(K$4*Historical!M14)</f>
        <v>0</v>
      </c>
      <c r="L18" s="93">
        <f>Historical!N14+(L$4*Historical!N14)</f>
        <v>0</v>
      </c>
      <c r="M18" s="93">
        <f>Historical!O14+(M$4*Historical!O14)</f>
        <v>0</v>
      </c>
      <c r="N18" s="95">
        <f>SUM(B18:M18)</f>
        <v>0</v>
      </c>
      <c r="O18" s="123">
        <f>N18+(N18*$O$4)</f>
        <v>0</v>
      </c>
      <c r="P18" s="123">
        <f>O18+(O18*$P$4)</f>
        <v>0</v>
      </c>
    </row>
    <row r="19" spans="1:16" ht="12.75">
      <c r="A19" s="96" t="s">
        <v>3</v>
      </c>
      <c r="B19" s="244">
        <f aca="true" t="shared" si="2" ref="B19:N19">SUM(B14:B18)</f>
        <v>0</v>
      </c>
      <c r="C19" s="244">
        <f t="shared" si="2"/>
        <v>0</v>
      </c>
      <c r="D19" s="244">
        <f t="shared" si="2"/>
        <v>0</v>
      </c>
      <c r="E19" s="244">
        <f t="shared" si="2"/>
        <v>8734.48</v>
      </c>
      <c r="F19" s="244">
        <f t="shared" si="2"/>
        <v>18630.64</v>
      </c>
      <c r="G19" s="244">
        <f t="shared" si="2"/>
        <v>26588.1</v>
      </c>
      <c r="H19" s="244">
        <f t="shared" si="2"/>
        <v>53307.4</v>
      </c>
      <c r="I19" s="244">
        <f t="shared" si="2"/>
        <v>56517.4</v>
      </c>
      <c r="J19" s="244">
        <f t="shared" si="2"/>
        <v>35082.83</v>
      </c>
      <c r="K19" s="244">
        <f t="shared" si="2"/>
        <v>25477.559999999998</v>
      </c>
      <c r="L19" s="244">
        <f t="shared" si="2"/>
        <v>0</v>
      </c>
      <c r="M19" s="244">
        <f t="shared" si="2"/>
        <v>0</v>
      </c>
      <c r="N19" s="244">
        <f t="shared" si="2"/>
        <v>224338.40999999997</v>
      </c>
      <c r="O19" s="112">
        <f>SUM(O14:O18)</f>
        <v>235323.809952</v>
      </c>
      <c r="P19" s="112">
        <f>SUM(P14:P18)</f>
        <v>245540.48427040002</v>
      </c>
    </row>
    <row r="20" spans="1:14" ht="12.75">
      <c r="A20" s="5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12.75">
      <c r="A21" s="52" t="s">
        <v>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6" ht="12.75">
      <c r="A22" s="66" t="s">
        <v>164</v>
      </c>
      <c r="B22" s="93">
        <f>IF(Historical!D11=0,0,(Historical!D18/Historical!D11*Future!B15))</f>
        <v>0</v>
      </c>
      <c r="C22" s="93">
        <f>IF(Historical!E11=0,0,(Historical!E18/Historical!E11*Future!C15))</f>
        <v>0</v>
      </c>
      <c r="D22" s="93">
        <f>IF(Historical!F11=0,0,(Historical!F18/Historical!F11*Future!D15))</f>
        <v>0</v>
      </c>
      <c r="E22" s="93">
        <f>IF(Historical!G11=0,0,(Historical!G18/Historical!G11*Future!E15))</f>
        <v>0</v>
      </c>
      <c r="F22" s="93">
        <f>IF(Historical!H11=0,0,(Historical!H18/Historical!H11*Future!F15))</f>
        <v>1184.5</v>
      </c>
      <c r="G22" s="93">
        <f>IF(Historical!I11=0,0,(Historical!I18/Historical!I11*Future!G15))</f>
        <v>2257.5</v>
      </c>
      <c r="H22" s="93">
        <f>IF(Historical!J11=0,0,(Historical!J18/Historical!J11*Future!H15))</f>
        <v>5403.5</v>
      </c>
      <c r="I22" s="93">
        <f>IF(Historical!K11=0,0,(Historical!K18/Historical!K11*Future!I15))</f>
        <v>5403.5</v>
      </c>
      <c r="J22" s="93">
        <f>IF(Historical!L11=0,0,(Historical!L18/Historical!L11*Future!J15))</f>
        <v>3347.5</v>
      </c>
      <c r="K22" s="93">
        <f>IF(Historical!M11=0,0,(Historical!M18/Historical!M11*Future!K15))</f>
        <v>2906.9999999999995</v>
      </c>
      <c r="L22" s="93">
        <f>IF(Historical!N11=0,0,(Historical!N18/Historical!N11*Future!L15))</f>
        <v>0</v>
      </c>
      <c r="M22" s="93">
        <f>IF(Historical!O11=0,0,(Historical!O18/Historical!O11*Future!M15))</f>
        <v>0</v>
      </c>
      <c r="N22" s="99">
        <f>SUM(B22:M22)</f>
        <v>20503.5</v>
      </c>
      <c r="O22" s="146">
        <f>(N22/N15*O15)</f>
        <v>21118.605</v>
      </c>
      <c r="P22" s="146">
        <f>(O22/(O15+O16))*(P15+P16)</f>
        <v>21752.16315</v>
      </c>
    </row>
    <row r="23" spans="1:16" ht="12.75">
      <c r="A23" s="66" t="s">
        <v>165</v>
      </c>
      <c r="B23" s="93">
        <f>IF(Historical!D12=0,0,(Historical!D19/Historical!D12*Future!B16))</f>
        <v>0</v>
      </c>
      <c r="C23" s="93">
        <f>IF(Historical!E12=0,0,(Historical!E19/Historical!E12*Future!C16))</f>
        <v>0</v>
      </c>
      <c r="D23" s="93">
        <f>IF(Historical!F12=0,0,(Historical!F19/Historical!F12*Future!D16))</f>
        <v>0</v>
      </c>
      <c r="E23" s="93">
        <f>IF(Historical!G12=0,0,(Historical!G19/Historical!G12*Future!E16))</f>
        <v>151.5</v>
      </c>
      <c r="F23" s="93">
        <f>IF(Historical!H12=0,0,(Historical!H19/Historical!H12*Future!F16))</f>
        <v>309</v>
      </c>
      <c r="G23" s="93">
        <f>IF(Historical!I12=0,0,(Historical!I19/Historical!I12*Future!G16))</f>
        <v>315</v>
      </c>
      <c r="H23" s="93">
        <f>IF(Historical!J12=0,0,(Historical!J19/Historical!J12*Future!H16))</f>
        <v>963</v>
      </c>
      <c r="I23" s="93">
        <f>IF(Historical!K12=0,0,(Historical!K19/Historical!K12*Future!I16))</f>
        <v>963</v>
      </c>
      <c r="J23" s="93">
        <f>IF(Historical!L12=0,0,(Historical!L19/Historical!L12*Future!J16))</f>
        <v>618</v>
      </c>
      <c r="K23" s="93">
        <f>IF(Historical!M12=0,0,(Historical!M19/Historical!M12*Future!K16))</f>
        <v>306</v>
      </c>
      <c r="L23" s="93">
        <f>IF(Historical!N12=0,0,(Historical!N19/Historical!N12*Future!L16))</f>
        <v>0</v>
      </c>
      <c r="M23" s="93">
        <f>IF(Historical!O12=0,0,(Historical!O19/Historical!O12*Future!M16))</f>
        <v>0</v>
      </c>
      <c r="N23" s="99">
        <f>SUM(B23:M23)</f>
        <v>3625.5</v>
      </c>
      <c r="O23" s="146">
        <f>(N23/N16*O16)</f>
        <v>3734.265</v>
      </c>
      <c r="P23" s="146">
        <f>(O23/(O15+O16))*(P15+P16)</f>
        <v>3846.29295</v>
      </c>
    </row>
    <row r="24" spans="1:16" ht="12.75">
      <c r="A24" s="66" t="s">
        <v>75</v>
      </c>
      <c r="B24" s="93">
        <f>IF(Historical!D15=0,0,Historical!D20/Historical!D15*Future!B19)</f>
        <v>0</v>
      </c>
      <c r="C24" s="93">
        <f>IF(Historical!E15=0,0,Historical!E20/Historical!E15*Future!C19)</f>
        <v>0</v>
      </c>
      <c r="D24" s="93">
        <f>IF(Historical!F15=0,0,Historical!F20/Historical!F15*Future!D19)</f>
        <v>0</v>
      </c>
      <c r="E24" s="93">
        <f>IF(Historical!G15=0,0,Historical!G20/Historical!G15*Future!E19)</f>
        <v>1130.3444705882353</v>
      </c>
      <c r="F24" s="93">
        <f>IF(Historical!H15=0,0,Historical!H20/Historical!H15*Future!F19)</f>
        <v>1282.2263999999998</v>
      </c>
      <c r="G24" s="93">
        <f>IF(Historical!I15=0,0,Historical!I20/Historical!I15*Future!G19)</f>
        <v>1384.796875</v>
      </c>
      <c r="H24" s="93">
        <f>IF(Historical!J15=0,0,Historical!J20/Historical!J15*Future!H19)</f>
        <v>1699.173375</v>
      </c>
      <c r="I24" s="93">
        <f>IF(Historical!K15=0,0,Historical!K20/Historical!K15*Future!I19)</f>
        <v>1799.3294693877551</v>
      </c>
      <c r="J24" s="93">
        <f>IF(Historical!L15=0,0,Historical!L20/Historical!L15*Future!J19)</f>
        <v>1535.5927229508197</v>
      </c>
      <c r="K24" s="93">
        <f>IF(Historical!M15=0,0,Historical!M20/Historical!M15*Future!K19)</f>
        <v>1431.3235955056177</v>
      </c>
      <c r="L24" s="93">
        <f>IF(Historical!N15=0,0,Historical!N20/Historical!N15*Future!L19)</f>
        <v>0</v>
      </c>
      <c r="M24" s="93">
        <f>IF(Historical!O15=0,0,Historical!O20/Historical!O15*Future!M19)</f>
        <v>0</v>
      </c>
      <c r="N24" s="99">
        <f>SUM(B24:M24)</f>
        <v>10262.786908432428</v>
      </c>
      <c r="O24" s="146">
        <f>(N24/N17*O17)</f>
        <v>10570.6705156854</v>
      </c>
      <c r="P24" s="146">
        <f>O24/O19*P19</f>
        <v>11029.600268726115</v>
      </c>
    </row>
    <row r="25" spans="1:16" ht="12.75">
      <c r="A25" s="137" t="s">
        <v>62</v>
      </c>
      <c r="B25" s="93">
        <f>IF(Historical!D13=0,0,Historical!D21/Historical!D13*Future!B17)</f>
        <v>0</v>
      </c>
      <c r="C25" s="93">
        <f>IF(Historical!E13=0,0,Historical!E21/Historical!E13*Future!C17)</f>
        <v>0</v>
      </c>
      <c r="D25" s="93">
        <f>IF(Historical!F13=0,0,Historical!F21/Historical!F13*Future!D17)</f>
        <v>0</v>
      </c>
      <c r="E25" s="93">
        <f>IF(Historical!G13=0,0,Historical!G21/Historical!G13*Future!E17)</f>
        <v>1010</v>
      </c>
      <c r="F25" s="93">
        <f>IF(Historical!H13=0,0,Historical!H21/Historical!H13*Future!F17)</f>
        <v>515</v>
      </c>
      <c r="G25" s="93">
        <f>IF(Historical!I13=0,0,Historical!I21/Historical!I13*Future!G17)</f>
        <v>1050</v>
      </c>
      <c r="H25" s="93">
        <f>IF(Historical!J13=0,0,Historical!J21/Historical!J13*Future!H17)</f>
        <v>535</v>
      </c>
      <c r="I25" s="93">
        <f>IF(Historical!K13=0,0,Historical!K21/Historical!K13*Future!I17)</f>
        <v>1337.5</v>
      </c>
      <c r="J25" s="93">
        <f>IF(Historical!L13=0,0,Historical!L21/Historical!L13*Future!J17)</f>
        <v>206</v>
      </c>
      <c r="K25" s="93">
        <f>IF(Historical!M13=0,0,Historical!M21/Historical!M13*Future!K17)</f>
        <v>0</v>
      </c>
      <c r="L25" s="93">
        <f>IF(Historical!N13=0,0,Historical!N21/Historical!N13*Future!L17)</f>
        <v>0</v>
      </c>
      <c r="M25" s="93">
        <f>IF(Historical!O13=0,0,Historical!O21/Historical!O13*Future!M17)</f>
        <v>0</v>
      </c>
      <c r="N25" s="99">
        <f>SUM(B25:M25)</f>
        <v>4653.5</v>
      </c>
      <c r="O25" s="146">
        <f>(N25/N17*O17)</f>
        <v>4793.105</v>
      </c>
      <c r="P25" s="146">
        <f>O25/O17*P17</f>
        <v>4936.89815</v>
      </c>
    </row>
    <row r="26" spans="1:16" ht="12.75">
      <c r="A26" s="137" t="s">
        <v>5</v>
      </c>
      <c r="B26" s="93">
        <f>Historical!D22+(Historical!D22*Future!B$4)</f>
        <v>0</v>
      </c>
      <c r="C26" s="93">
        <f>Historical!E22+(Historical!E22*Future!C$4)</f>
        <v>0</v>
      </c>
      <c r="D26" s="93">
        <f>Historical!F22+(Historical!F22*Future!D$4)</f>
        <v>0</v>
      </c>
      <c r="E26" s="93">
        <f>Historical!G22+(Historical!G22*Future!E$4)</f>
        <v>2727</v>
      </c>
      <c r="F26" s="93">
        <f>Historical!H22+(Historical!H22*Future!F$4)</f>
        <v>4727.7</v>
      </c>
      <c r="G26" s="93">
        <f>Historical!I22+(Historical!I22*Future!G$4)</f>
        <v>7087.5</v>
      </c>
      <c r="H26" s="93">
        <f>Historical!J22+(Historical!J22*Future!H$4)</f>
        <v>15311.7</v>
      </c>
      <c r="I26" s="93">
        <f>Historical!K22+(Historical!K22*Future!I$4)</f>
        <v>16178.4</v>
      </c>
      <c r="J26" s="93">
        <f>Historical!L22+(Historical!L22*Future!J$4)</f>
        <v>6952.5</v>
      </c>
      <c r="K26" s="93">
        <f>Historical!M22+(Historical!M22*Future!K$4)</f>
        <v>555.9</v>
      </c>
      <c r="L26" s="93">
        <f>Historical!N22+(Historical!N22*Future!L$4)</f>
        <v>0</v>
      </c>
      <c r="M26" s="93">
        <f>Historical!O22+(Historical!O22*Future!M$4)</f>
        <v>0</v>
      </c>
      <c r="N26" s="95">
        <f>SUM(B26:M26)</f>
        <v>53540.700000000004</v>
      </c>
      <c r="O26" s="146">
        <f>(N26/N19*O19)</f>
        <v>56162.48020790131</v>
      </c>
      <c r="P26" s="146">
        <f>O26/O19*P19</f>
        <v>58600.796030319594</v>
      </c>
    </row>
    <row r="27" spans="1:16" ht="12.75">
      <c r="A27" s="138" t="s">
        <v>6</v>
      </c>
      <c r="B27" s="100">
        <f>SUM(B22:B26)</f>
        <v>0</v>
      </c>
      <c r="C27" s="100">
        <f>SUM(C22:C26)</f>
        <v>0</v>
      </c>
      <c r="D27" s="100">
        <v>0</v>
      </c>
      <c r="E27" s="100">
        <f aca="true" t="shared" si="3" ref="E27:N27">SUM(E22:E26)</f>
        <v>5018.844470588236</v>
      </c>
      <c r="F27" s="100">
        <f t="shared" si="3"/>
        <v>8018.426399999999</v>
      </c>
      <c r="G27" s="100">
        <f t="shared" si="3"/>
        <v>12094.796875</v>
      </c>
      <c r="H27" s="100">
        <f t="shared" si="3"/>
        <v>23912.373375000003</v>
      </c>
      <c r="I27" s="100">
        <f t="shared" si="3"/>
        <v>25681.729469387756</v>
      </c>
      <c r="J27" s="100">
        <f t="shared" si="3"/>
        <v>12659.59272295082</v>
      </c>
      <c r="K27" s="100">
        <f t="shared" si="3"/>
        <v>5200.223595505617</v>
      </c>
      <c r="L27" s="100">
        <f t="shared" si="3"/>
        <v>0</v>
      </c>
      <c r="M27" s="100">
        <f t="shared" si="3"/>
        <v>0</v>
      </c>
      <c r="N27" s="100">
        <f t="shared" si="3"/>
        <v>92585.98690843243</v>
      </c>
      <c r="O27" s="124">
        <f>SUM(O22:O26)</f>
        <v>96379.12572358671</v>
      </c>
      <c r="P27" s="124">
        <f>SUM(P22:P26)</f>
        <v>100165.75054904571</v>
      </c>
    </row>
    <row r="28" spans="1:16" ht="12.75">
      <c r="A28" s="139" t="s">
        <v>7</v>
      </c>
      <c r="B28" s="39">
        <f>IF(B19=0,0,B27/B19)</f>
        <v>0</v>
      </c>
      <c r="C28" s="39">
        <f aca="true" t="shared" si="4" ref="C28:N28">IF(C19=0,0,C27/C19)</f>
        <v>0</v>
      </c>
      <c r="D28" s="39">
        <f t="shared" si="4"/>
        <v>0</v>
      </c>
      <c r="E28" s="39">
        <f t="shared" si="4"/>
        <v>0.5746014039288242</v>
      </c>
      <c r="F28" s="39">
        <f t="shared" si="4"/>
        <v>0.4303892083149049</v>
      </c>
      <c r="G28" s="39">
        <f t="shared" si="4"/>
        <v>0.4548951175525893</v>
      </c>
      <c r="H28" s="39">
        <f t="shared" si="4"/>
        <v>0.44857512043356085</v>
      </c>
      <c r="I28" s="39">
        <f t="shared" si="4"/>
        <v>0.45440394408426</v>
      </c>
      <c r="J28" s="39">
        <f t="shared" si="4"/>
        <v>0.36084867506272494</v>
      </c>
      <c r="K28" s="39">
        <f t="shared" si="4"/>
        <v>0.20410995383802913</v>
      </c>
      <c r="L28" s="39">
        <f t="shared" si="4"/>
        <v>0</v>
      </c>
      <c r="M28" s="39">
        <f t="shared" si="4"/>
        <v>0</v>
      </c>
      <c r="N28" s="39">
        <f t="shared" si="4"/>
        <v>0.41270679821806905</v>
      </c>
      <c r="O28" s="166">
        <f>O27/O19</f>
        <v>0.40955960105883704</v>
      </c>
      <c r="P28" s="166">
        <f>P27/P19</f>
        <v>0.4079398590691821</v>
      </c>
    </row>
    <row r="29" spans="1:16" ht="12.75">
      <c r="A29" s="1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140"/>
      <c r="P29" s="140"/>
    </row>
    <row r="30" spans="1:16" ht="12.75">
      <c r="A30" s="141" t="s">
        <v>8</v>
      </c>
      <c r="B30" s="102">
        <f aca="true" t="shared" si="5" ref="B30:N30">B19-B27</f>
        <v>0</v>
      </c>
      <c r="C30" s="102">
        <f t="shared" si="5"/>
        <v>0</v>
      </c>
      <c r="D30" s="102">
        <f t="shared" si="5"/>
        <v>0</v>
      </c>
      <c r="E30" s="102">
        <f t="shared" si="5"/>
        <v>3715.635529411764</v>
      </c>
      <c r="F30" s="102">
        <f t="shared" si="5"/>
        <v>10612.2136</v>
      </c>
      <c r="G30" s="102">
        <f t="shared" si="5"/>
        <v>14493.303124999999</v>
      </c>
      <c r="H30" s="102">
        <f t="shared" si="5"/>
        <v>29395.026625</v>
      </c>
      <c r="I30" s="102">
        <f t="shared" si="5"/>
        <v>30835.670530612246</v>
      </c>
      <c r="J30" s="102">
        <f t="shared" si="5"/>
        <v>22423.237277049182</v>
      </c>
      <c r="K30" s="102">
        <f t="shared" si="5"/>
        <v>20277.33640449438</v>
      </c>
      <c r="L30" s="102">
        <f t="shared" si="5"/>
        <v>0</v>
      </c>
      <c r="M30" s="102">
        <f t="shared" si="5"/>
        <v>0</v>
      </c>
      <c r="N30" s="103">
        <f t="shared" si="5"/>
        <v>131752.42309156753</v>
      </c>
      <c r="O30" s="55">
        <f>O19-O27</f>
        <v>138944.6842284133</v>
      </c>
      <c r="P30" s="55">
        <f>P19-P27</f>
        <v>145374.7337213543</v>
      </c>
    </row>
    <row r="31" spans="1:16" ht="12.75">
      <c r="A31" s="66" t="s">
        <v>9</v>
      </c>
      <c r="B31" s="126">
        <f>IF(B19=0,0,B30/B19)</f>
        <v>0</v>
      </c>
      <c r="C31" s="126">
        <f aca="true" t="shared" si="6" ref="C31:N31">IF(C19=0,0,C30/C19)</f>
        <v>0</v>
      </c>
      <c r="D31" s="126">
        <f t="shared" si="6"/>
        <v>0</v>
      </c>
      <c r="E31" s="126">
        <f t="shared" si="6"/>
        <v>0.42539859607117586</v>
      </c>
      <c r="F31" s="126">
        <f t="shared" si="6"/>
        <v>0.5696107916850951</v>
      </c>
      <c r="G31" s="126">
        <f t="shared" si="6"/>
        <v>0.5451048824474106</v>
      </c>
      <c r="H31" s="126">
        <f t="shared" si="6"/>
        <v>0.5514248795664392</v>
      </c>
      <c r="I31" s="126">
        <f t="shared" si="6"/>
        <v>0.54559605591574</v>
      </c>
      <c r="J31" s="126">
        <f t="shared" si="6"/>
        <v>0.639151324937275</v>
      </c>
      <c r="K31" s="126">
        <f t="shared" si="6"/>
        <v>0.7958900461619709</v>
      </c>
      <c r="L31" s="126">
        <f t="shared" si="6"/>
        <v>0</v>
      </c>
      <c r="M31" s="126">
        <f t="shared" si="6"/>
        <v>0</v>
      </c>
      <c r="N31" s="126">
        <f t="shared" si="6"/>
        <v>0.5872932017819309</v>
      </c>
      <c r="O31" s="142">
        <f>O30/O19</f>
        <v>0.590440398941163</v>
      </c>
      <c r="P31" s="142">
        <f>P30/P19</f>
        <v>0.5920601409308179</v>
      </c>
    </row>
    <row r="32" spans="1:14" ht="12.75">
      <c r="A32" s="66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2.75">
      <c r="A33" s="52" t="s">
        <v>65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6" ht="12.75">
      <c r="A34" s="66" t="s">
        <v>66</v>
      </c>
      <c r="B34" s="93">
        <f>Historical!D30+(Historical!D30*ABS(Future!B$4))</f>
        <v>0</v>
      </c>
      <c r="C34" s="93">
        <f>Historical!E30+(Historical!E30*ABS(Future!C$4))</f>
        <v>0</v>
      </c>
      <c r="D34" s="93">
        <f>Historical!F30+(Historical!F30*ABS(Future!D$4))</f>
        <v>0</v>
      </c>
      <c r="E34" s="93">
        <f>Historical!G30+(Historical!G30*ABS(Future!E$4))</f>
        <v>1100.9</v>
      </c>
      <c r="F34" s="93">
        <f>Historical!H30+(Historical!H30*ABS(Future!F$4))</f>
        <v>1390.5</v>
      </c>
      <c r="G34" s="93">
        <f>Historical!I30+(Historical!I30*ABS(Future!G$4))</f>
        <v>1727.25</v>
      </c>
      <c r="H34" s="93">
        <f>Historical!J30+(Historical!J30*ABS(Future!H$4))</f>
        <v>2867.6</v>
      </c>
      <c r="I34" s="93">
        <f>Historical!K30+(Historical!K30*ABS(Future!I$4))</f>
        <v>2987.44</v>
      </c>
      <c r="J34" s="93">
        <f>Historical!L30+(Historical!L30*ABS(Future!J$4))</f>
        <v>2018.8</v>
      </c>
      <c r="K34" s="93">
        <f>Historical!M30+(Historical!M30*ABS(Future!K$4))</f>
        <v>1677.9</v>
      </c>
      <c r="L34" s="93">
        <f>Historical!N30+(Historical!N30*ABS(Future!L$4))</f>
        <v>0</v>
      </c>
      <c r="M34" s="93">
        <f>Historical!O30+(Historical!O30*ABS(Future!M$4))</f>
        <v>0</v>
      </c>
      <c r="N34" s="93">
        <f aca="true" t="shared" si="7" ref="N34:N48">SUM(B34:M34)</f>
        <v>13770.39</v>
      </c>
      <c r="O34" s="123">
        <f>N34+(N34*ABS($O$4))</f>
        <v>14183.501699999999</v>
      </c>
      <c r="P34" s="123">
        <f>O34+(O34*ABS($P$4))</f>
        <v>14609.006750999999</v>
      </c>
    </row>
    <row r="35" spans="1:16" ht="12.75">
      <c r="A35" s="66" t="s">
        <v>67</v>
      </c>
      <c r="B35" s="93">
        <f>Historical!D31+(Historical!D31*ABS(Future!B$4))</f>
        <v>0</v>
      </c>
      <c r="C35" s="93">
        <f>Historical!E31+(Historical!E31*ABS(Future!C$4))</f>
        <v>0</v>
      </c>
      <c r="D35" s="93">
        <f>Historical!F31+(Historical!F31*ABS(Future!D$4))</f>
        <v>0</v>
      </c>
      <c r="E35" s="93">
        <f>Historical!G31+(Historical!G31*ABS(Future!E$4))</f>
        <v>414.1</v>
      </c>
      <c r="F35" s="93">
        <f>Historical!H31+(Historical!H31*ABS(Future!F$4))</f>
        <v>717.91</v>
      </c>
      <c r="G35" s="93">
        <f>Historical!I31+(Historical!I31*ABS(Future!G$4))</f>
        <v>1076.25</v>
      </c>
      <c r="H35" s="93">
        <f>Historical!J31+(Historical!J31*ABS(Future!H$4))</f>
        <v>2327.25</v>
      </c>
      <c r="I35" s="93">
        <f>Historical!K31+(Historical!K31*ABS(Future!I$4))</f>
        <v>2455.65</v>
      </c>
      <c r="J35" s="93">
        <f>Historical!L31+(Historical!L31*ABS(Future!J$4))</f>
        <v>1416.25</v>
      </c>
      <c r="K35" s="93">
        <f>Historical!M31+(Historical!M31*ABS(Future!K$4))</f>
        <v>1045.5</v>
      </c>
      <c r="L35" s="93">
        <f>Historical!N31+(Historical!N31*ABS(Future!L$4))</f>
        <v>0</v>
      </c>
      <c r="M35" s="93">
        <f>Historical!O31+(Historical!O31*ABS(Future!M$4))</f>
        <v>0</v>
      </c>
      <c r="N35" s="93">
        <f t="shared" si="7"/>
        <v>9452.91</v>
      </c>
      <c r="O35" s="123">
        <f>N35+(N35*ABS($O$4))</f>
        <v>9736.497299999999</v>
      </c>
      <c r="P35" s="123">
        <f>O35+(O35*ABS($P$4))</f>
        <v>10028.592218999998</v>
      </c>
    </row>
    <row r="36" spans="1:16" ht="12.75">
      <c r="A36" s="137" t="s">
        <v>68</v>
      </c>
      <c r="B36" s="93">
        <f>Historical!D32+(Historical!D32*ABS(Future!B$4))</f>
        <v>0</v>
      </c>
      <c r="C36" s="93">
        <f>Historical!E32+(Historical!E32*ABS(Future!C$4))</f>
        <v>0</v>
      </c>
      <c r="D36" s="93">
        <f>Historical!F32+(Historical!F32*ABS(Future!D$4))</f>
        <v>0</v>
      </c>
      <c r="E36" s="93">
        <f>Historical!G32+(Historical!G32*ABS(Future!E$4))</f>
        <v>303</v>
      </c>
      <c r="F36" s="93">
        <f>Historical!H32+(Historical!H32*ABS(Future!F$4))</f>
        <v>525.3</v>
      </c>
      <c r="G36" s="93">
        <f>Historical!I32+(Historical!I32*ABS(Future!G$4))</f>
        <v>787.5</v>
      </c>
      <c r="H36" s="93">
        <f>Historical!J32+(Historical!J32*ABS(Future!H$4))</f>
        <v>1701.3</v>
      </c>
      <c r="I36" s="93">
        <f>Historical!K32+(Historical!K32*ABS(Future!I$4))</f>
        <v>1797.6</v>
      </c>
      <c r="J36" s="93">
        <f>Historical!L32+(Historical!L32*ABS(Future!J$4))</f>
        <v>1035.15</v>
      </c>
      <c r="K36" s="93">
        <f>Historical!M32+(Historical!M32*ABS(Future!K$4))</f>
        <v>765</v>
      </c>
      <c r="L36" s="93">
        <f>Historical!N32+(Historical!N32*ABS(Future!L$4))</f>
        <v>0</v>
      </c>
      <c r="M36" s="93">
        <f>Historical!O32+(Historical!O32*ABS(Future!M$4))</f>
        <v>0</v>
      </c>
      <c r="N36" s="93">
        <f t="shared" si="7"/>
        <v>6914.85</v>
      </c>
      <c r="O36" s="123">
        <f>N36+(N36*ABS($O$4))</f>
        <v>7122.2955</v>
      </c>
      <c r="P36" s="123">
        <f>O36+(O36*ABS($P$4))</f>
        <v>7335.964365</v>
      </c>
    </row>
    <row r="37" spans="1:16" ht="12.75">
      <c r="A37" s="137" t="s">
        <v>40</v>
      </c>
      <c r="B37" s="93">
        <f>Historical!D33+(Historical!D33*ABS(Future!B$4))</f>
        <v>0</v>
      </c>
      <c r="C37" s="93">
        <f>Historical!E33+(Historical!E33*ABS(Future!C$4))</f>
        <v>0</v>
      </c>
      <c r="D37" s="93">
        <f>Historical!F33+(Historical!F33*ABS(Future!D$4))</f>
        <v>0</v>
      </c>
      <c r="E37" s="93">
        <f>Historical!G33+(Historical!G33*ABS(Future!E$4))</f>
        <v>464.6</v>
      </c>
      <c r="F37" s="93">
        <f>Historical!H33+(Historical!H33*ABS(Future!F$4))</f>
        <v>805.46</v>
      </c>
      <c r="G37" s="93">
        <f>Historical!I33+(Historical!I33*ABS(Future!G$4))</f>
        <v>1207.5</v>
      </c>
      <c r="H37" s="93">
        <f>Historical!J33+(Historical!J33*ABS(Future!H$4))</f>
        <v>2608.66</v>
      </c>
      <c r="I37" s="93">
        <f>Historical!K33+(Historical!K33*ABS(Future!I$4))</f>
        <v>2755.25</v>
      </c>
      <c r="J37" s="93">
        <f>Historical!L33+(Historical!L33*ABS(Future!J$4))</f>
        <v>1586.2</v>
      </c>
      <c r="K37" s="93">
        <f>Historical!M33+(Historical!M33*ABS(Future!K$4))</f>
        <v>1173</v>
      </c>
      <c r="L37" s="93">
        <f>Historical!N33+(Historical!N33*ABS(Future!L$4))</f>
        <v>0</v>
      </c>
      <c r="M37" s="93">
        <f>Historical!O33+(Historical!O33*ABS(Future!M$4))</f>
        <v>0</v>
      </c>
      <c r="N37" s="93">
        <f t="shared" si="7"/>
        <v>10600.67</v>
      </c>
      <c r="O37" s="123">
        <f>N37+(N37*ABS($O$4))</f>
        <v>10918.6901</v>
      </c>
      <c r="P37" s="123">
        <f>O37+(O37*ABS($P$4))</f>
        <v>11246.250802999999</v>
      </c>
    </row>
    <row r="38" spans="1:16" ht="12.75">
      <c r="A38" s="82" t="s">
        <v>187</v>
      </c>
      <c r="B38" s="104">
        <v>0</v>
      </c>
      <c r="C38" s="104">
        <v>0</v>
      </c>
      <c r="D38" s="104">
        <v>0</v>
      </c>
      <c r="E38" s="104">
        <f aca="true" t="shared" si="8" ref="E38:K38">SUM(E34:E37)</f>
        <v>2282.6</v>
      </c>
      <c r="F38" s="104">
        <f t="shared" si="8"/>
        <v>3439.17</v>
      </c>
      <c r="G38" s="104">
        <f t="shared" si="8"/>
        <v>4798.5</v>
      </c>
      <c r="H38" s="104">
        <f t="shared" si="8"/>
        <v>9504.810000000001</v>
      </c>
      <c r="I38" s="104">
        <f t="shared" si="8"/>
        <v>9995.94</v>
      </c>
      <c r="J38" s="104">
        <f t="shared" si="8"/>
        <v>6056.400000000001</v>
      </c>
      <c r="K38" s="104">
        <f t="shared" si="8"/>
        <v>4661.4</v>
      </c>
      <c r="L38" s="104">
        <v>0</v>
      </c>
      <c r="M38" s="104">
        <v>0</v>
      </c>
      <c r="N38" s="101">
        <f>SUM(N34:N37)</f>
        <v>40738.82</v>
      </c>
      <c r="O38" s="124">
        <f>SUM(O34:O37)</f>
        <v>41960.984599999996</v>
      </c>
      <c r="P38" s="124">
        <f>SUM(P34:P37)</f>
        <v>43219.814138</v>
      </c>
    </row>
    <row r="39" spans="1:16" ht="12.75">
      <c r="A39" s="8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57"/>
      <c r="O39" s="57"/>
      <c r="P39" s="57"/>
    </row>
    <row r="40" spans="1:16" ht="12.75">
      <c r="A40" s="52" t="s">
        <v>70</v>
      </c>
      <c r="B40" s="93">
        <v>0</v>
      </c>
      <c r="C40" s="93">
        <v>0</v>
      </c>
      <c r="D40" s="93">
        <v>0</v>
      </c>
      <c r="E40" s="93">
        <f aca="true" t="shared" si="9" ref="E40:K40">E30-E38</f>
        <v>1433.035529411764</v>
      </c>
      <c r="F40" s="93">
        <f t="shared" si="9"/>
        <v>7173.043599999999</v>
      </c>
      <c r="G40" s="93">
        <f t="shared" si="9"/>
        <v>9694.803124999999</v>
      </c>
      <c r="H40" s="93">
        <f t="shared" si="9"/>
        <v>19890.216624999997</v>
      </c>
      <c r="I40" s="93">
        <f t="shared" si="9"/>
        <v>20839.730530612243</v>
      </c>
      <c r="J40" s="93">
        <f t="shared" si="9"/>
        <v>16366.83727704918</v>
      </c>
      <c r="K40" s="93">
        <f t="shared" si="9"/>
        <v>15615.936404494381</v>
      </c>
      <c r="L40" s="93">
        <v>0</v>
      </c>
      <c r="M40" s="93">
        <v>0</v>
      </c>
      <c r="N40" s="106">
        <f>N30-N38</f>
        <v>91013.60309156752</v>
      </c>
      <c r="O40" s="56">
        <f>O30-O38</f>
        <v>96983.6996284133</v>
      </c>
      <c r="P40" s="56">
        <f>P30-P38</f>
        <v>102154.9195833543</v>
      </c>
    </row>
    <row r="41" spans="1:16" ht="12.75">
      <c r="A41" s="137" t="s">
        <v>7</v>
      </c>
      <c r="B41" s="39">
        <f>IF(B19=0,0,B40/B19)</f>
        <v>0</v>
      </c>
      <c r="C41" s="39">
        <f aca="true" t="shared" si="10" ref="C41:N41">IF(C19=0,0,C40/C19)</f>
        <v>0</v>
      </c>
      <c r="D41" s="39">
        <f t="shared" si="10"/>
        <v>0</v>
      </c>
      <c r="E41" s="39">
        <f t="shared" si="10"/>
        <v>0.1640664961636828</v>
      </c>
      <c r="F41" s="39">
        <f t="shared" si="10"/>
        <v>0.38501326846528083</v>
      </c>
      <c r="G41" s="39">
        <f t="shared" si="10"/>
        <v>0.36462940657662635</v>
      </c>
      <c r="H41" s="39">
        <f t="shared" si="10"/>
        <v>0.3731229927739863</v>
      </c>
      <c r="I41" s="39">
        <f t="shared" si="10"/>
        <v>0.3687312319854106</v>
      </c>
      <c r="J41" s="39">
        <f t="shared" si="10"/>
        <v>0.46651986960713204</v>
      </c>
      <c r="K41" s="39">
        <f t="shared" si="10"/>
        <v>0.6129290404769681</v>
      </c>
      <c r="L41" s="39">
        <f t="shared" si="10"/>
        <v>0</v>
      </c>
      <c r="M41" s="39">
        <f t="shared" si="10"/>
        <v>0</v>
      </c>
      <c r="N41" s="39">
        <f t="shared" si="10"/>
        <v>0.40569781648879266</v>
      </c>
      <c r="O41" s="166">
        <f>O40/O19</f>
        <v>0.412128715951843</v>
      </c>
      <c r="P41" s="166">
        <f>P40/P19</f>
        <v>0.4160410446647845</v>
      </c>
    </row>
    <row r="42" spans="1:16" ht="12.75">
      <c r="A42" s="137"/>
      <c r="B42" s="12"/>
      <c r="C42" s="12"/>
      <c r="D42" s="12"/>
      <c r="E42" s="54"/>
      <c r="F42" s="54"/>
      <c r="G42" s="54"/>
      <c r="H42" s="54"/>
      <c r="I42" s="54"/>
      <c r="J42" s="54"/>
      <c r="K42" s="54"/>
      <c r="L42" s="12"/>
      <c r="M42" s="12"/>
      <c r="N42" s="54"/>
      <c r="O42" s="136"/>
      <c r="P42" s="136"/>
    </row>
    <row r="43" spans="1:14" ht="12.75">
      <c r="A43" s="51" t="s">
        <v>71</v>
      </c>
      <c r="B43" s="12"/>
      <c r="C43" s="12"/>
      <c r="D43" s="12"/>
      <c r="E43" s="54"/>
      <c r="F43" s="12"/>
      <c r="G43" s="12"/>
      <c r="H43" s="12"/>
      <c r="I43" s="12"/>
      <c r="J43" s="12"/>
      <c r="K43" s="12"/>
      <c r="L43" s="12"/>
      <c r="M43" s="12"/>
      <c r="N43" s="12"/>
    </row>
    <row r="44" spans="1:16" ht="12.75">
      <c r="A44" s="35" t="s">
        <v>197</v>
      </c>
      <c r="B44" s="93">
        <f>Historical!D40+(Historical!D40*ABS(Future!B$4))</f>
        <v>0</v>
      </c>
      <c r="C44" s="93">
        <f>Historical!E40+(Historical!E40*ABS(Future!C$4))</f>
        <v>0</v>
      </c>
      <c r="D44" s="93">
        <f>Historical!F40+(Historical!F40*ABS(Future!D$4))</f>
        <v>0</v>
      </c>
      <c r="E44" s="93">
        <f>Historical!G40+(Historical!G40*ABS(Future!E$4))</f>
        <v>202</v>
      </c>
      <c r="F44" s="93">
        <f>Historical!H40+(Historical!H40*ABS(Future!F$4))</f>
        <v>350.2</v>
      </c>
      <c r="G44" s="93">
        <f>Historical!I40+(Historical!I40*ABS(Future!G$4))</f>
        <v>525</v>
      </c>
      <c r="H44" s="93">
        <f>Historical!J40+(Historical!J40*ABS(Future!H$4))</f>
        <v>1134.2</v>
      </c>
      <c r="I44" s="93">
        <f>Historical!K40+(Historical!K40*ABS(Future!I$4))</f>
        <v>1198.4</v>
      </c>
      <c r="J44" s="93">
        <f>Historical!L40+(Historical!L40*ABS(Future!J$4))</f>
        <v>690.1</v>
      </c>
      <c r="K44" s="93">
        <f>Historical!M40+(Historical!M40*ABS(Future!K$4))</f>
        <v>510</v>
      </c>
      <c r="L44" s="93">
        <f>Historical!N40+(Historical!N40*ABS(Future!L$4))</f>
        <v>0</v>
      </c>
      <c r="M44" s="93">
        <f>Historical!O40+(Historical!O40*ABS(Future!M$4))</f>
        <v>0</v>
      </c>
      <c r="N44" s="87">
        <f t="shared" si="7"/>
        <v>4609.900000000001</v>
      </c>
      <c r="O44" s="123">
        <f>N44+(N44*$O$4)</f>
        <v>4748.197</v>
      </c>
      <c r="P44" s="123">
        <f>O44+(O44*$P$4)</f>
        <v>4890.6429100000005</v>
      </c>
    </row>
    <row r="45" spans="1:16" ht="12.75">
      <c r="A45" s="137" t="s">
        <v>84</v>
      </c>
      <c r="B45" s="93">
        <f>Historical!D41+(Historical!D41*ABS(Future!B$4))</f>
        <v>0</v>
      </c>
      <c r="C45" s="93">
        <f>Historical!E41+(Historical!E41*ABS(Future!C$4))</f>
        <v>0</v>
      </c>
      <c r="D45" s="93">
        <f>Historical!F41+(Historical!F41*ABS(Future!D$4))</f>
        <v>0</v>
      </c>
      <c r="E45" s="93">
        <f>Historical!G41+(Historical!G41*ABS(Future!E$4))</f>
        <v>202</v>
      </c>
      <c r="F45" s="93">
        <f>Historical!H41+(Historical!H41*ABS(Future!F$4))</f>
        <v>350.2</v>
      </c>
      <c r="G45" s="93">
        <f>Historical!I41+(Historical!I41*ABS(Future!G$4))</f>
        <v>525</v>
      </c>
      <c r="H45" s="93">
        <f>Historical!J41+(Historical!J41*ABS(Future!H$4))</f>
        <v>1134.2</v>
      </c>
      <c r="I45" s="93">
        <f>Historical!K41+(Historical!K41*ABS(Future!I$4))</f>
        <v>1198.4</v>
      </c>
      <c r="J45" s="93">
        <f>Historical!L41+(Historical!L41*ABS(Future!J$4))</f>
        <v>690.1</v>
      </c>
      <c r="K45" s="93">
        <f>Historical!M41+(Historical!M41*ABS(Future!K$4))</f>
        <v>510</v>
      </c>
      <c r="L45" s="93">
        <f>Historical!N41+(Historical!N41*ABS(Future!L$4))</f>
        <v>0</v>
      </c>
      <c r="M45" s="93">
        <f>Historical!O41+(Historical!O41*ABS(Future!M$4))</f>
        <v>0</v>
      </c>
      <c r="N45" s="87">
        <f t="shared" si="7"/>
        <v>4609.900000000001</v>
      </c>
      <c r="O45" s="123">
        <f>N45+(N45*$O$4)</f>
        <v>4748.197</v>
      </c>
      <c r="P45" s="123">
        <f>O45+(O45*$P$4)</f>
        <v>4890.6429100000005</v>
      </c>
    </row>
    <row r="46" spans="1:16" ht="12.75">
      <c r="A46" s="66" t="s">
        <v>11</v>
      </c>
      <c r="B46" s="93">
        <f>Historical!D42+(Historical!D42*ABS(Future!B$4))</f>
        <v>0</v>
      </c>
      <c r="C46" s="93">
        <f>Historical!E42+(Historical!E42*ABS(Future!C$4))</f>
        <v>0</v>
      </c>
      <c r="D46" s="93">
        <f>Historical!F42+(Historical!F42*ABS(Future!D$4))</f>
        <v>0</v>
      </c>
      <c r="E46" s="93">
        <f>Historical!G42+(Historical!G42*ABS(Future!E$4))</f>
        <v>868.6</v>
      </c>
      <c r="F46" s="93">
        <f>Historical!H42+(Historical!H42*ABS(Future!F$4))</f>
        <v>885.8</v>
      </c>
      <c r="G46" s="93">
        <f>Historical!I42+(Historical!I42*ABS(Future!G$4))</f>
        <v>903</v>
      </c>
      <c r="H46" s="93">
        <f>Historical!J42+(Historical!J42*ABS(Future!H$4))</f>
        <v>920.2</v>
      </c>
      <c r="I46" s="93">
        <f>Historical!K42+(Historical!K42*ABS(Future!I$4))</f>
        <v>920.2</v>
      </c>
      <c r="J46" s="93">
        <f>Historical!L42+(Historical!L42*ABS(Future!J$4))</f>
        <v>885.8</v>
      </c>
      <c r="K46" s="93">
        <f>Historical!M42+(Historical!M42*ABS(Future!K$4))</f>
        <v>877.2</v>
      </c>
      <c r="L46" s="93">
        <f>Historical!N42+(Historical!N42*ABS(Future!L$4))</f>
        <v>0</v>
      </c>
      <c r="M46" s="93">
        <f>Historical!O42+(Historical!O42*ABS(Future!M$4))</f>
        <v>0</v>
      </c>
      <c r="N46" s="87">
        <f t="shared" si="7"/>
        <v>6260.8</v>
      </c>
      <c r="O46" s="123">
        <f>N46+(N46*ABS($O$4))</f>
        <v>6448.624</v>
      </c>
      <c r="P46" s="123">
        <f>O46+(O46*ABS($P$4))</f>
        <v>6642.082719999999</v>
      </c>
    </row>
    <row r="47" spans="1:16" ht="12.75">
      <c r="A47" s="143" t="s">
        <v>12</v>
      </c>
      <c r="B47" s="93">
        <f>Historical!D43+(Historical!D43*ABS(Future!B$4))</f>
        <v>0</v>
      </c>
      <c r="C47" s="93">
        <f>Historical!E43+(Historical!E43*ABS(Future!C$4))</f>
        <v>0</v>
      </c>
      <c r="D47" s="93">
        <f>Historical!F43+(Historical!F43*ABS(Future!D$4))</f>
        <v>0</v>
      </c>
      <c r="E47" s="93">
        <f>Historical!G43+(Historical!G43*ABS(Future!E$4))</f>
        <v>808</v>
      </c>
      <c r="F47" s="93">
        <f>Historical!H43+(Historical!H43*ABS(Future!F$4))</f>
        <v>1421.4</v>
      </c>
      <c r="G47" s="93">
        <f>Historical!I43+(Historical!I43*ABS(Future!G$4))</f>
        <v>2189.25</v>
      </c>
      <c r="H47" s="93">
        <f>Historical!J43+(Historical!J43*ABS(Future!H$4))</f>
        <v>4873.85</v>
      </c>
      <c r="I47" s="93">
        <f>Historical!K43+(Historical!K43*ABS(Future!I$4))</f>
        <v>5369.26</v>
      </c>
      <c r="J47" s="93">
        <f>Historical!L43+(Historical!L43*ABS(Future!J$4))</f>
        <v>3064.25</v>
      </c>
      <c r="K47" s="93">
        <f>Historical!M43+(Historical!M43*ABS(Future!K$4))</f>
        <v>2249.1</v>
      </c>
      <c r="L47" s="93">
        <f>Historical!N43+(Historical!N43*ABS(Future!L$4))</f>
        <v>0</v>
      </c>
      <c r="M47" s="93">
        <f>Historical!O43+(Historical!O43*ABS(Future!M$4))</f>
        <v>0</v>
      </c>
      <c r="N47" s="87">
        <f t="shared" si="7"/>
        <v>19975.11</v>
      </c>
      <c r="O47" s="123">
        <f>N47+(N47*ABS($O$4))</f>
        <v>20574.3633</v>
      </c>
      <c r="P47" s="123">
        <f>O47+(O47*ABS($P$4))</f>
        <v>21191.594199</v>
      </c>
    </row>
    <row r="48" spans="1:16" ht="12.75">
      <c r="A48" s="137" t="s">
        <v>2</v>
      </c>
      <c r="B48" s="93">
        <f>Historical!D44+(Historical!D44*ABS(Future!B$4))</f>
        <v>0</v>
      </c>
      <c r="C48" s="93">
        <f>Historical!E44+(Historical!E44*ABS(Future!C$4))</f>
        <v>0</v>
      </c>
      <c r="D48" s="93">
        <f>Historical!F44+(Historical!F44*ABS(Future!D$4))</f>
        <v>0</v>
      </c>
      <c r="E48" s="93">
        <f>Historical!G44+(Historical!G44*ABS(Future!E$4))</f>
        <v>0</v>
      </c>
      <c r="F48" s="93">
        <f>Historical!H44+(Historical!H44*ABS(Future!F$4))</f>
        <v>0</v>
      </c>
      <c r="G48" s="93">
        <f>Historical!I44+(Historical!I44*ABS(Future!G$4))</f>
        <v>0</v>
      </c>
      <c r="H48" s="93">
        <f>Historical!J44+(Historical!J44*ABS(Future!H$4))</f>
        <v>0</v>
      </c>
      <c r="I48" s="93">
        <f>Historical!K44+(Historical!K44*ABS(Future!I$4))</f>
        <v>0</v>
      </c>
      <c r="J48" s="93">
        <f>Historical!L44+(Historical!L44*ABS(Future!J$4))</f>
        <v>0</v>
      </c>
      <c r="K48" s="93">
        <f>Historical!M44+(Historical!M44*ABS(Future!K$4))</f>
        <v>0</v>
      </c>
      <c r="L48" s="93">
        <f>Historical!N44+(Historical!N44*ABS(Future!L$4))</f>
        <v>0</v>
      </c>
      <c r="M48" s="93">
        <f>Historical!O44+(Historical!O44*ABS(Future!M$4))</f>
        <v>0</v>
      </c>
      <c r="N48" s="88">
        <f t="shared" si="7"/>
        <v>0</v>
      </c>
      <c r="O48" s="123">
        <f>N48+(N48*ABS($O$4))</f>
        <v>0</v>
      </c>
      <c r="P48" s="123">
        <f>O48+(O48*ABS($P$4))</f>
        <v>0</v>
      </c>
    </row>
    <row r="49" spans="1:16" ht="12.75">
      <c r="A49" s="82" t="s">
        <v>73</v>
      </c>
      <c r="B49" s="89">
        <f aca="true" t="shared" si="11" ref="B49:N49">SUM(B44:B48)</f>
        <v>0</v>
      </c>
      <c r="C49" s="89">
        <f t="shared" si="11"/>
        <v>0</v>
      </c>
      <c r="D49" s="89">
        <f t="shared" si="11"/>
        <v>0</v>
      </c>
      <c r="E49" s="89">
        <f t="shared" si="11"/>
        <v>2080.6</v>
      </c>
      <c r="F49" s="89">
        <f t="shared" si="11"/>
        <v>3007.6</v>
      </c>
      <c r="G49" s="89">
        <f t="shared" si="11"/>
        <v>4142.25</v>
      </c>
      <c r="H49" s="89">
        <f t="shared" si="11"/>
        <v>8062.450000000001</v>
      </c>
      <c r="I49" s="89">
        <f t="shared" si="11"/>
        <v>8686.26</v>
      </c>
      <c r="J49" s="89">
        <f t="shared" si="11"/>
        <v>5330.25</v>
      </c>
      <c r="K49" s="89">
        <f t="shared" si="11"/>
        <v>4146.3</v>
      </c>
      <c r="L49" s="89">
        <f t="shared" si="11"/>
        <v>0</v>
      </c>
      <c r="M49" s="89">
        <f t="shared" si="11"/>
        <v>0</v>
      </c>
      <c r="N49" s="89">
        <f t="shared" si="11"/>
        <v>35455.71000000001</v>
      </c>
      <c r="O49" s="124">
        <f>SUM(O44:O48)</f>
        <v>36519.3813</v>
      </c>
      <c r="P49" s="124">
        <f>SUM(P44:P48)</f>
        <v>37614.962738999995</v>
      </c>
    </row>
    <row r="50" spans="1:14" ht="12.75">
      <c r="A50" s="144" t="s">
        <v>10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6" ht="12.75">
      <c r="A51" s="63" t="s">
        <v>74</v>
      </c>
      <c r="B51" s="90">
        <f>B30-B49</f>
        <v>0</v>
      </c>
      <c r="C51" s="90">
        <f>C30-C49</f>
        <v>0</v>
      </c>
      <c r="D51" s="90">
        <f>D30-D49</f>
        <v>0</v>
      </c>
      <c r="E51" s="91">
        <f aca="true" t="shared" si="12" ref="E51:K51">E40-E49</f>
        <v>-647.564470588236</v>
      </c>
      <c r="F51" s="90">
        <f t="shared" si="12"/>
        <v>4165.443599999999</v>
      </c>
      <c r="G51" s="90">
        <f t="shared" si="12"/>
        <v>5552.5531249999985</v>
      </c>
      <c r="H51" s="90">
        <f t="shared" si="12"/>
        <v>11827.766624999997</v>
      </c>
      <c r="I51" s="90">
        <f t="shared" si="12"/>
        <v>12153.470530612243</v>
      </c>
      <c r="J51" s="90">
        <f t="shared" si="12"/>
        <v>11036.58727704918</v>
      </c>
      <c r="K51" s="90">
        <f t="shared" si="12"/>
        <v>11469.63640449438</v>
      </c>
      <c r="L51" s="90">
        <f>L30-L49</f>
        <v>0</v>
      </c>
      <c r="M51" s="90">
        <f>M30-M49</f>
        <v>0</v>
      </c>
      <c r="N51" s="90">
        <f>N40-N49</f>
        <v>55557.893091567516</v>
      </c>
      <c r="O51" s="56">
        <f>O40-O49</f>
        <v>60464.318328413305</v>
      </c>
      <c r="P51" s="56">
        <f>P40-P49</f>
        <v>64539.95684435431</v>
      </c>
    </row>
    <row r="52" spans="1:16" ht="12.75">
      <c r="A52" s="53" t="s">
        <v>7</v>
      </c>
      <c r="B52" s="39">
        <f>IF(B19=0,0,B51/B19)</f>
        <v>0</v>
      </c>
      <c r="C52" s="39">
        <f aca="true" t="shared" si="13" ref="C52:N52">IF(C19=0,0,C51/C19)</f>
        <v>0</v>
      </c>
      <c r="D52" s="39">
        <f t="shared" si="13"/>
        <v>0</v>
      </c>
      <c r="E52" s="165">
        <f t="shared" si="13"/>
        <v>-0.0741388692387224</v>
      </c>
      <c r="F52" s="39">
        <f t="shared" si="13"/>
        <v>0.22358027421494908</v>
      </c>
      <c r="G52" s="39">
        <f t="shared" si="13"/>
        <v>0.20883602532711998</v>
      </c>
      <c r="H52" s="39">
        <f t="shared" si="13"/>
        <v>0.22187851264552383</v>
      </c>
      <c r="I52" s="39">
        <f t="shared" si="13"/>
        <v>0.2150394485700376</v>
      </c>
      <c r="J52" s="39">
        <f t="shared" si="13"/>
        <v>0.3145865734619807</v>
      </c>
      <c r="K52" s="39">
        <f t="shared" si="13"/>
        <v>0.4501858264486231</v>
      </c>
      <c r="L52" s="39">
        <f t="shared" si="13"/>
        <v>0</v>
      </c>
      <c r="M52" s="39">
        <f t="shared" si="13"/>
        <v>0</v>
      </c>
      <c r="N52" s="39">
        <f t="shared" si="13"/>
        <v>0.24765216572395035</v>
      </c>
      <c r="O52" s="166">
        <f>O51/O19</f>
        <v>0.2569409289299985</v>
      </c>
      <c r="P52" s="166">
        <f>P51/P19</f>
        <v>0.26284853610242154</v>
      </c>
    </row>
    <row r="53" spans="1:14" ht="12.75">
      <c r="A53" s="5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6" ht="12.75">
      <c r="A54" s="247" t="s">
        <v>78</v>
      </c>
      <c r="B54" s="115">
        <f>Historical!D50+(Historical!D50*Future!B$4)</f>
        <v>0</v>
      </c>
      <c r="C54" s="115">
        <f>Historical!E50+(Historical!E50*Future!C$4)</f>
        <v>0</v>
      </c>
      <c r="D54" s="115">
        <f>Historical!F50+(Historical!F50*Future!D$4)</f>
        <v>0</v>
      </c>
      <c r="E54" s="115">
        <f>Historical!G50+(Historical!G50*Future!E$4)</f>
        <v>1515</v>
      </c>
      <c r="F54" s="115">
        <f>Historical!H50+(Historical!H50*Future!F$4)</f>
        <v>1545</v>
      </c>
      <c r="G54" s="115">
        <f>Historical!I50+(Historical!I50*Future!G$4)</f>
        <v>1575</v>
      </c>
      <c r="H54" s="115">
        <f>Historical!J50+(Historical!J50*Future!H$4)</f>
        <v>1605</v>
      </c>
      <c r="I54" s="115">
        <f>Historical!K50+(Historical!K50*Future!I$4)</f>
        <v>1605</v>
      </c>
      <c r="J54" s="115">
        <f>Historical!L50+(Historical!L50*Future!J$4)</f>
        <v>1545</v>
      </c>
      <c r="K54" s="115">
        <f>Historical!M50+(Historical!M50*Future!K$4)</f>
        <v>1530</v>
      </c>
      <c r="L54" s="115">
        <f>Historical!N50+(Historical!N50*Future!L$4)</f>
        <v>0</v>
      </c>
      <c r="M54" s="115">
        <f>Historical!O50+(Historical!O50*Future!M$4)</f>
        <v>0</v>
      </c>
      <c r="N54" s="115">
        <f>SUM(B54:M54)</f>
        <v>10920</v>
      </c>
      <c r="O54" s="245">
        <f>N54+(N54*ABS($O$4))</f>
        <v>11247.6</v>
      </c>
      <c r="P54" s="245">
        <f>O54+(O54*ABS($P$4))</f>
        <v>11585.028</v>
      </c>
    </row>
    <row r="55" spans="1:16" ht="12.75">
      <c r="A55" s="246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57"/>
      <c r="P55" s="57"/>
    </row>
    <row r="56" spans="1:16" ht="13.5" thickBot="1">
      <c r="A56" s="128" t="s">
        <v>14</v>
      </c>
      <c r="B56" s="130">
        <f aca="true" t="shared" si="14" ref="B56:N56">B51-B54</f>
        <v>0</v>
      </c>
      <c r="C56" s="130">
        <f t="shared" si="14"/>
        <v>0</v>
      </c>
      <c r="D56" s="130">
        <f t="shared" si="14"/>
        <v>0</v>
      </c>
      <c r="E56" s="130">
        <f t="shared" si="14"/>
        <v>-2162.564470588236</v>
      </c>
      <c r="F56" s="130">
        <f t="shared" si="14"/>
        <v>2620.4435999999987</v>
      </c>
      <c r="G56" s="130">
        <f t="shared" si="14"/>
        <v>3977.5531249999985</v>
      </c>
      <c r="H56" s="130">
        <f t="shared" si="14"/>
        <v>10222.766624999997</v>
      </c>
      <c r="I56" s="130">
        <f t="shared" si="14"/>
        <v>10548.470530612243</v>
      </c>
      <c r="J56" s="130">
        <f t="shared" si="14"/>
        <v>9491.58727704918</v>
      </c>
      <c r="K56" s="130">
        <f t="shared" si="14"/>
        <v>9939.63640449438</v>
      </c>
      <c r="L56" s="130">
        <f t="shared" si="14"/>
        <v>0</v>
      </c>
      <c r="M56" s="130">
        <f t="shared" si="14"/>
        <v>0</v>
      </c>
      <c r="N56" s="130">
        <f t="shared" si="14"/>
        <v>44637.893091567516</v>
      </c>
      <c r="O56" s="125">
        <f>O51-O54</f>
        <v>49216.718328413306</v>
      </c>
      <c r="P56" s="125">
        <f>P51-P54</f>
        <v>52954.92884435431</v>
      </c>
    </row>
    <row r="57" spans="1:16" ht="12.75">
      <c r="A57" s="139" t="s">
        <v>7</v>
      </c>
      <c r="B57" s="39">
        <f aca="true" t="shared" si="15" ref="B57:N57">IF(B19=0,0,B56/B19)</f>
        <v>0</v>
      </c>
      <c r="C57" s="39">
        <f t="shared" si="15"/>
        <v>0</v>
      </c>
      <c r="D57" s="39">
        <f t="shared" si="15"/>
        <v>0</v>
      </c>
      <c r="E57" s="165">
        <f t="shared" si="15"/>
        <v>-0.24758937802688152</v>
      </c>
      <c r="F57" s="39">
        <f t="shared" si="15"/>
        <v>0.1406523662096417</v>
      </c>
      <c r="G57" s="39">
        <f t="shared" si="15"/>
        <v>0.14959899823605294</v>
      </c>
      <c r="H57" s="39">
        <f t="shared" si="15"/>
        <v>0.19177012244078676</v>
      </c>
      <c r="I57" s="39">
        <f t="shared" si="15"/>
        <v>0.18664111460563018</v>
      </c>
      <c r="J57" s="39">
        <f t="shared" si="15"/>
        <v>0.2705479368981687</v>
      </c>
      <c r="K57" s="39">
        <f t="shared" si="15"/>
        <v>0.3901329799436987</v>
      </c>
      <c r="L57" s="39">
        <f t="shared" si="15"/>
        <v>0</v>
      </c>
      <c r="M57" s="39">
        <f t="shared" si="15"/>
        <v>0</v>
      </c>
      <c r="N57" s="39">
        <f t="shared" si="15"/>
        <v>0.19897570412292537</v>
      </c>
      <c r="O57" s="166">
        <f>O56/O19</f>
        <v>0.2091446604508581</v>
      </c>
      <c r="P57" s="166">
        <f>P56/P19</f>
        <v>0.21566679320399973</v>
      </c>
    </row>
    <row r="58" spans="1:16" ht="12.75">
      <c r="A58" s="127"/>
      <c r="B58"/>
      <c r="C58"/>
      <c r="D58"/>
      <c r="E58"/>
      <c r="F58"/>
      <c r="G58"/>
      <c r="H58"/>
      <c r="I58"/>
      <c r="J58"/>
      <c r="K58"/>
      <c r="L58"/>
      <c r="M58"/>
      <c r="N58" s="22"/>
      <c r="O58" s="145"/>
      <c r="P58" s="145"/>
    </row>
    <row r="59" spans="1:16" ht="13.5" thickBot="1">
      <c r="A59" s="128" t="s">
        <v>76</v>
      </c>
      <c r="B59" s="109">
        <f>IF(B56&gt;0,B56,0)</f>
        <v>0</v>
      </c>
      <c r="C59" s="109">
        <f aca="true" t="shared" si="16" ref="C59:N59">IF(C56&gt;0,C56,0)</f>
        <v>0</v>
      </c>
      <c r="D59" s="109">
        <f t="shared" si="16"/>
        <v>0</v>
      </c>
      <c r="E59" s="109">
        <f t="shared" si="16"/>
        <v>0</v>
      </c>
      <c r="F59" s="109">
        <f t="shared" si="16"/>
        <v>2620.4435999999987</v>
      </c>
      <c r="G59" s="109">
        <f t="shared" si="16"/>
        <v>3977.5531249999985</v>
      </c>
      <c r="H59" s="109">
        <f t="shared" si="16"/>
        <v>10222.766624999997</v>
      </c>
      <c r="I59" s="109">
        <f t="shared" si="16"/>
        <v>10548.470530612243</v>
      </c>
      <c r="J59" s="109">
        <f t="shared" si="16"/>
        <v>9491.58727704918</v>
      </c>
      <c r="K59" s="109">
        <f t="shared" si="16"/>
        <v>9939.63640449438</v>
      </c>
      <c r="L59" s="109">
        <f t="shared" si="16"/>
        <v>0</v>
      </c>
      <c r="M59" s="109">
        <f t="shared" si="16"/>
        <v>0</v>
      </c>
      <c r="N59" s="310">
        <f t="shared" si="16"/>
        <v>44637.893091567516</v>
      </c>
      <c r="O59" s="125">
        <f>O56</f>
        <v>49216.718328413306</v>
      </c>
      <c r="P59" s="125">
        <f>P56</f>
        <v>52954.92884435431</v>
      </c>
    </row>
    <row r="60" spans="2:14" ht="12.75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</row>
  </sheetData>
  <sheetProtection/>
  <mergeCells count="3">
    <mergeCell ref="O6:P6"/>
    <mergeCell ref="B6:N6"/>
    <mergeCell ref="B3:P3"/>
  </mergeCells>
  <printOptions horizontalCentered="1"/>
  <pageMargins left="0.1968503937007874" right="0.1968503937007874" top="0.4724409448818898" bottom="0.07874015748031496" header="0.31496062992125984" footer="0.31496062992125984"/>
  <pageSetup fitToHeight="1" fitToWidth="1" orientation="landscape" scale="72" r:id="rId1"/>
  <headerFooter alignWithMargins="0">
    <oddHeader xml:space="preserve">&amp;C&amp;"Times New Roman,Bold"&amp;11Acme Wilderness Motel
Income Expense Statement&amp;R&amp;"Times New Roman,Bold"&amp;11 3 Year Forecast  &amp;"MS Sans Serif,Regular"&amp;10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116"/>
  <sheetViews>
    <sheetView zoomScalePageLayoutView="0" workbookViewId="0" topLeftCell="A69">
      <selection activeCell="C92" sqref="C92"/>
    </sheetView>
  </sheetViews>
  <sheetFormatPr defaultColWidth="9.33203125" defaultRowHeight="12.75"/>
  <cols>
    <col min="1" max="1" width="34.83203125" style="0" customWidth="1"/>
    <col min="2" max="16" width="10.33203125" style="0" customWidth="1"/>
  </cols>
  <sheetData>
    <row r="1" spans="2:37" ht="12.75">
      <c r="B1" s="316" t="s">
        <v>169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8" t="s">
        <v>163</v>
      </c>
      <c r="P1" s="318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</row>
    <row r="2" spans="2:37" ht="13.5" thickBot="1">
      <c r="B2" s="278">
        <v>0</v>
      </c>
      <c r="C2" s="278">
        <v>0</v>
      </c>
      <c r="D2" s="278">
        <v>0</v>
      </c>
      <c r="E2" s="278">
        <v>0.07</v>
      </c>
      <c r="F2" s="278">
        <v>0.14</v>
      </c>
      <c r="G2" s="278">
        <v>0.16</v>
      </c>
      <c r="H2" s="278">
        <v>0.2</v>
      </c>
      <c r="I2" s="278">
        <v>0.21</v>
      </c>
      <c r="J2" s="278">
        <v>0.13</v>
      </c>
      <c r="K2" s="278">
        <v>0.09</v>
      </c>
      <c r="L2" s="278">
        <v>0</v>
      </c>
      <c r="M2" s="278">
        <v>0</v>
      </c>
      <c r="N2" s="280">
        <f>SUM(B2:M2)</f>
        <v>1</v>
      </c>
      <c r="O2" s="279">
        <v>0.04</v>
      </c>
      <c r="P2" s="279">
        <v>0.03</v>
      </c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</row>
    <row r="3" spans="15:37" ht="12.75">
      <c r="O3" s="169"/>
      <c r="P3" s="169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</row>
    <row r="4" spans="1:37" ht="15.75">
      <c r="A4" s="48" t="s">
        <v>0</v>
      </c>
      <c r="B4" s="317" t="s">
        <v>77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</row>
    <row r="5" spans="1:37" ht="15.75">
      <c r="A5" s="48"/>
      <c r="B5" s="31" t="s">
        <v>48</v>
      </c>
      <c r="C5" s="31" t="s">
        <v>49</v>
      </c>
      <c r="D5" s="31" t="s">
        <v>50</v>
      </c>
      <c r="E5" s="31" t="s">
        <v>51</v>
      </c>
      <c r="F5" s="31" t="s">
        <v>52</v>
      </c>
      <c r="G5" s="31" t="s">
        <v>53</v>
      </c>
      <c r="H5" s="31" t="s">
        <v>54</v>
      </c>
      <c r="I5" s="31" t="s">
        <v>55</v>
      </c>
      <c r="J5" s="31" t="s">
        <v>56</v>
      </c>
      <c r="K5" s="31" t="s">
        <v>57</v>
      </c>
      <c r="L5" s="31" t="s">
        <v>58</v>
      </c>
      <c r="M5" s="31" t="s">
        <v>59</v>
      </c>
      <c r="N5" s="31" t="s">
        <v>154</v>
      </c>
      <c r="O5" s="78" t="s">
        <v>155</v>
      </c>
      <c r="P5" s="78" t="s">
        <v>156</v>
      </c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</row>
    <row r="6" spans="1:37" ht="12.75">
      <c r="A6" s="20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1"/>
      <c r="P6" s="21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</row>
    <row r="7" spans="1:37" s="127" customFormat="1" ht="12.75">
      <c r="A7" s="50" t="s">
        <v>166</v>
      </c>
      <c r="B7" s="99">
        <f>B$2*$N$7</f>
        <v>0</v>
      </c>
      <c r="C7" s="99">
        <f aca="true" t="shared" si="0" ref="C7:M7">C$2*$N$7</f>
        <v>0</v>
      </c>
      <c r="D7" s="99">
        <f t="shared" si="0"/>
        <v>0</v>
      </c>
      <c r="E7" s="99">
        <f t="shared" si="0"/>
        <v>4340</v>
      </c>
      <c r="F7" s="99">
        <f t="shared" si="0"/>
        <v>8680</v>
      </c>
      <c r="G7" s="99">
        <f t="shared" si="0"/>
        <v>9920</v>
      </c>
      <c r="H7" s="99">
        <f t="shared" si="0"/>
        <v>12400</v>
      </c>
      <c r="I7" s="99">
        <f t="shared" si="0"/>
        <v>13020</v>
      </c>
      <c r="J7" s="99">
        <f t="shared" si="0"/>
        <v>8060</v>
      </c>
      <c r="K7" s="99">
        <f t="shared" si="0"/>
        <v>5580</v>
      </c>
      <c r="L7" s="99">
        <f t="shared" si="0"/>
        <v>0</v>
      </c>
      <c r="M7" s="99">
        <f t="shared" si="0"/>
        <v>0</v>
      </c>
      <c r="N7" s="99">
        <f>C80</f>
        <v>62000</v>
      </c>
      <c r="O7" s="123">
        <f>N7+(N7*$O$2)</f>
        <v>64480</v>
      </c>
      <c r="P7" s="146">
        <f>O7+(O7*$P$2)</f>
        <v>66414.4</v>
      </c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</row>
    <row r="8" spans="1:37" s="127" customFormat="1" ht="12.75">
      <c r="A8" s="50" t="s">
        <v>167</v>
      </c>
      <c r="B8" s="99">
        <f>B$2*$N$8</f>
        <v>0</v>
      </c>
      <c r="C8" s="99">
        <f aca="true" t="shared" si="1" ref="C8:M8">C$2*$N$8</f>
        <v>0</v>
      </c>
      <c r="D8" s="99">
        <f t="shared" si="1"/>
        <v>0</v>
      </c>
      <c r="E8" s="99">
        <f t="shared" si="1"/>
        <v>1470.0000000000002</v>
      </c>
      <c r="F8" s="99">
        <f t="shared" si="1"/>
        <v>2940.0000000000005</v>
      </c>
      <c r="G8" s="99">
        <f t="shared" si="1"/>
        <v>3360</v>
      </c>
      <c r="H8" s="99">
        <f t="shared" si="1"/>
        <v>4200</v>
      </c>
      <c r="I8" s="99">
        <f t="shared" si="1"/>
        <v>4410</v>
      </c>
      <c r="J8" s="99">
        <f t="shared" si="1"/>
        <v>2730</v>
      </c>
      <c r="K8" s="99">
        <f t="shared" si="1"/>
        <v>1890</v>
      </c>
      <c r="L8" s="99">
        <f t="shared" si="1"/>
        <v>0</v>
      </c>
      <c r="M8" s="99">
        <f t="shared" si="1"/>
        <v>0</v>
      </c>
      <c r="N8" s="99">
        <f>C85</f>
        <v>21000</v>
      </c>
      <c r="O8" s="123">
        <f>N8+(N8*$O$2)</f>
        <v>21840</v>
      </c>
      <c r="P8" s="146">
        <f>O8+(O8*$P$2)</f>
        <v>22495.2</v>
      </c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</row>
    <row r="9" spans="1:37" s="127" customFormat="1" ht="12.75">
      <c r="A9" s="50" t="s">
        <v>64</v>
      </c>
      <c r="B9" s="99">
        <f>B$2*$N$9</f>
        <v>0</v>
      </c>
      <c r="C9" s="99">
        <f aca="true" t="shared" si="2" ref="C9:M9">C$2*$N$9</f>
        <v>0</v>
      </c>
      <c r="D9" s="99">
        <f t="shared" si="2"/>
        <v>0</v>
      </c>
      <c r="E9" s="99">
        <f t="shared" si="2"/>
        <v>910.0000000000001</v>
      </c>
      <c r="F9" s="99">
        <f t="shared" si="2"/>
        <v>1820.0000000000002</v>
      </c>
      <c r="G9" s="99">
        <f t="shared" si="2"/>
        <v>2080</v>
      </c>
      <c r="H9" s="99">
        <f t="shared" si="2"/>
        <v>2600</v>
      </c>
      <c r="I9" s="99">
        <f t="shared" si="2"/>
        <v>2730</v>
      </c>
      <c r="J9" s="99">
        <f t="shared" si="2"/>
        <v>1690</v>
      </c>
      <c r="K9" s="99">
        <f t="shared" si="2"/>
        <v>1170</v>
      </c>
      <c r="L9" s="99">
        <f t="shared" si="2"/>
        <v>0</v>
      </c>
      <c r="M9" s="99">
        <f t="shared" si="2"/>
        <v>0</v>
      </c>
      <c r="N9" s="99">
        <f>C91</f>
        <v>13000</v>
      </c>
      <c r="O9" s="123">
        <f>N9+(N9*$O$2)</f>
        <v>13520</v>
      </c>
      <c r="P9" s="146">
        <f>O9+(O9*$P$2)</f>
        <v>13925.6</v>
      </c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</row>
    <row r="10" spans="1:37" ht="12.75">
      <c r="A10" s="24" t="s">
        <v>61</v>
      </c>
      <c r="B10" s="93">
        <f>B$2*$N$10</f>
        <v>0</v>
      </c>
      <c r="C10" s="93">
        <f aca="true" t="shared" si="3" ref="C10:M10">C$2*$N$10</f>
        <v>0</v>
      </c>
      <c r="D10" s="93">
        <f t="shared" si="3"/>
        <v>0</v>
      </c>
      <c r="E10" s="93">
        <f t="shared" si="3"/>
        <v>1225.0000000000002</v>
      </c>
      <c r="F10" s="93">
        <f t="shared" si="3"/>
        <v>2450.0000000000005</v>
      </c>
      <c r="G10" s="93">
        <f t="shared" si="3"/>
        <v>2800</v>
      </c>
      <c r="H10" s="93">
        <f t="shared" si="3"/>
        <v>3500</v>
      </c>
      <c r="I10" s="93">
        <f t="shared" si="3"/>
        <v>3675</v>
      </c>
      <c r="J10" s="93">
        <f t="shared" si="3"/>
        <v>2275</v>
      </c>
      <c r="K10" s="93">
        <f t="shared" si="3"/>
        <v>1575</v>
      </c>
      <c r="L10" s="93">
        <f t="shared" si="3"/>
        <v>0</v>
      </c>
      <c r="M10" s="93">
        <f t="shared" si="3"/>
        <v>0</v>
      </c>
      <c r="N10" s="93">
        <f>C98</f>
        <v>17500</v>
      </c>
      <c r="O10" s="94">
        <f>N10+(N10*$O$2)</f>
        <v>18200</v>
      </c>
      <c r="P10" s="133">
        <f>O10+(O10*$P$2)</f>
        <v>18746</v>
      </c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</row>
    <row r="11" spans="1:16" s="110" customFormat="1" ht="12.75">
      <c r="A11" s="81" t="s">
        <v>2</v>
      </c>
      <c r="B11" s="95">
        <f>B$2*$N$11</f>
        <v>0</v>
      </c>
      <c r="C11" s="95">
        <f aca="true" t="shared" si="4" ref="C11:M11">C$2*$N$11</f>
        <v>0</v>
      </c>
      <c r="D11" s="95">
        <f t="shared" si="4"/>
        <v>0</v>
      </c>
      <c r="E11" s="95">
        <f t="shared" si="4"/>
        <v>0</v>
      </c>
      <c r="F11" s="95">
        <f t="shared" si="4"/>
        <v>0</v>
      </c>
      <c r="G11" s="95">
        <f t="shared" si="4"/>
        <v>0</v>
      </c>
      <c r="H11" s="95">
        <f t="shared" si="4"/>
        <v>0</v>
      </c>
      <c r="I11" s="95">
        <f t="shared" si="4"/>
        <v>0</v>
      </c>
      <c r="J11" s="95">
        <f t="shared" si="4"/>
        <v>0</v>
      </c>
      <c r="K11" s="95">
        <f t="shared" si="4"/>
        <v>0</v>
      </c>
      <c r="L11" s="95">
        <f t="shared" si="4"/>
        <v>0</v>
      </c>
      <c r="M11" s="95">
        <f t="shared" si="4"/>
        <v>0</v>
      </c>
      <c r="N11" s="270">
        <v>0</v>
      </c>
      <c r="O11" s="94">
        <f>N11+(N11*$O$2)</f>
        <v>0</v>
      </c>
      <c r="P11" s="133">
        <f>O11+(O11*$P$2)</f>
        <v>0</v>
      </c>
    </row>
    <row r="12" spans="1:37" s="113" customFormat="1" ht="12.75">
      <c r="A12" s="111" t="s">
        <v>3</v>
      </c>
      <c r="B12" s="100">
        <f aca="true" t="shared" si="5" ref="B12:N12">SUM(B7:B11)</f>
        <v>0</v>
      </c>
      <c r="C12" s="100">
        <f t="shared" si="5"/>
        <v>0</v>
      </c>
      <c r="D12" s="100">
        <f t="shared" si="5"/>
        <v>0</v>
      </c>
      <c r="E12" s="100">
        <f t="shared" si="5"/>
        <v>7945</v>
      </c>
      <c r="F12" s="100">
        <f t="shared" si="5"/>
        <v>15890</v>
      </c>
      <c r="G12" s="100">
        <f t="shared" si="5"/>
        <v>18160</v>
      </c>
      <c r="H12" s="100">
        <f t="shared" si="5"/>
        <v>22700</v>
      </c>
      <c r="I12" s="100">
        <f t="shared" si="5"/>
        <v>23835</v>
      </c>
      <c r="J12" s="100">
        <f t="shared" si="5"/>
        <v>14755</v>
      </c>
      <c r="K12" s="100">
        <f t="shared" si="5"/>
        <v>10215</v>
      </c>
      <c r="L12" s="100">
        <f t="shared" si="5"/>
        <v>0</v>
      </c>
      <c r="M12" s="100">
        <f t="shared" si="5"/>
        <v>0</v>
      </c>
      <c r="N12" s="100">
        <f t="shared" si="5"/>
        <v>113500</v>
      </c>
      <c r="O12" s="105">
        <f>SUM(O7:O11)</f>
        <v>118040</v>
      </c>
      <c r="P12" s="105">
        <f>SUM(P7:P11)</f>
        <v>121581.2</v>
      </c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7" ht="12.75">
      <c r="A13" s="26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1"/>
      <c r="P13" s="21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7" ht="12.75">
      <c r="A14" s="26" t="s">
        <v>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"/>
      <c r="P14" s="21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7" ht="12.75">
      <c r="A15" s="24" t="s">
        <v>164</v>
      </c>
      <c r="B15" s="99">
        <f>B$2*$N15</f>
        <v>0</v>
      </c>
      <c r="C15" s="99">
        <f aca="true" t="shared" si="6" ref="C15:M15">C$2*$N15</f>
        <v>0</v>
      </c>
      <c r="D15" s="99">
        <f t="shared" si="6"/>
        <v>0</v>
      </c>
      <c r="E15" s="99">
        <f t="shared" si="6"/>
        <v>72.10000000000001</v>
      </c>
      <c r="F15" s="99">
        <f t="shared" si="6"/>
        <v>144.20000000000002</v>
      </c>
      <c r="G15" s="99">
        <f t="shared" si="6"/>
        <v>164.8</v>
      </c>
      <c r="H15" s="99">
        <f t="shared" si="6"/>
        <v>206</v>
      </c>
      <c r="I15" s="99">
        <f t="shared" si="6"/>
        <v>216.29999999999998</v>
      </c>
      <c r="J15" s="99">
        <f t="shared" si="6"/>
        <v>133.9</v>
      </c>
      <c r="K15" s="99">
        <f t="shared" si="6"/>
        <v>92.7</v>
      </c>
      <c r="L15" s="99">
        <f t="shared" si="6"/>
        <v>0</v>
      </c>
      <c r="M15" s="99">
        <f t="shared" si="6"/>
        <v>0</v>
      </c>
      <c r="N15" s="99">
        <f>I72</f>
        <v>1030</v>
      </c>
      <c r="O15" s="94">
        <f aca="true" t="shared" si="7" ref="O15:P20">N15+(N15*$O$2)</f>
        <v>1071.2</v>
      </c>
      <c r="P15" s="94">
        <f t="shared" si="7"/>
        <v>1114.048</v>
      </c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7" ht="12.75">
      <c r="A16" s="24" t="s">
        <v>75</v>
      </c>
      <c r="B16" s="99">
        <f aca="true" t="shared" si="8" ref="B16:M20">B$2*$N16</f>
        <v>0</v>
      </c>
      <c r="C16" s="99">
        <f t="shared" si="8"/>
        <v>0</v>
      </c>
      <c r="D16" s="99">
        <f t="shared" si="8"/>
        <v>0</v>
      </c>
      <c r="E16" s="99">
        <f t="shared" si="8"/>
        <v>240.10000000000002</v>
      </c>
      <c r="F16" s="99">
        <f t="shared" si="8"/>
        <v>480.20000000000005</v>
      </c>
      <c r="G16" s="99">
        <f t="shared" si="8"/>
        <v>548.8000000000001</v>
      </c>
      <c r="H16" s="99">
        <f t="shared" si="8"/>
        <v>686</v>
      </c>
      <c r="I16" s="99">
        <f t="shared" si="8"/>
        <v>720.3</v>
      </c>
      <c r="J16" s="99">
        <f t="shared" si="8"/>
        <v>445.90000000000003</v>
      </c>
      <c r="K16" s="99">
        <f t="shared" si="8"/>
        <v>308.7</v>
      </c>
      <c r="L16" s="99">
        <f t="shared" si="8"/>
        <v>0</v>
      </c>
      <c r="M16" s="99">
        <f t="shared" si="8"/>
        <v>0</v>
      </c>
      <c r="N16" s="99">
        <f>I74</f>
        <v>3430</v>
      </c>
      <c r="O16" s="94">
        <f t="shared" si="7"/>
        <v>3567.2</v>
      </c>
      <c r="P16" s="94">
        <f t="shared" si="7"/>
        <v>3709.888</v>
      </c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7" ht="12.75">
      <c r="A17" s="24" t="s">
        <v>168</v>
      </c>
      <c r="B17" s="99">
        <f t="shared" si="8"/>
        <v>0</v>
      </c>
      <c r="C17" s="99">
        <f t="shared" si="8"/>
        <v>0</v>
      </c>
      <c r="D17" s="99">
        <f t="shared" si="8"/>
        <v>0</v>
      </c>
      <c r="E17" s="99">
        <f t="shared" si="8"/>
        <v>362.88000000000005</v>
      </c>
      <c r="F17" s="99">
        <f t="shared" si="8"/>
        <v>725.7600000000001</v>
      </c>
      <c r="G17" s="99">
        <f t="shared" si="8"/>
        <v>829.44</v>
      </c>
      <c r="H17" s="99">
        <f t="shared" si="8"/>
        <v>1036.8</v>
      </c>
      <c r="I17" s="99">
        <f t="shared" si="8"/>
        <v>1088.6399999999999</v>
      </c>
      <c r="J17" s="99">
        <f t="shared" si="8"/>
        <v>673.9200000000001</v>
      </c>
      <c r="K17" s="99">
        <f t="shared" si="8"/>
        <v>466.56</v>
      </c>
      <c r="L17" s="99">
        <f t="shared" si="8"/>
        <v>0</v>
      </c>
      <c r="M17" s="99">
        <f t="shared" si="8"/>
        <v>0</v>
      </c>
      <c r="N17" s="99">
        <f>I78</f>
        <v>5184</v>
      </c>
      <c r="O17" s="94">
        <f t="shared" si="7"/>
        <v>5391.36</v>
      </c>
      <c r="P17" s="94">
        <f t="shared" si="7"/>
        <v>5607.0144</v>
      </c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</row>
    <row r="18" spans="1:37" ht="12.75">
      <c r="A18" s="35" t="s">
        <v>62</v>
      </c>
      <c r="B18" s="99">
        <f t="shared" si="8"/>
        <v>0</v>
      </c>
      <c r="C18" s="99">
        <f t="shared" si="8"/>
        <v>0</v>
      </c>
      <c r="D18" s="99">
        <f t="shared" si="8"/>
        <v>0</v>
      </c>
      <c r="E18" s="99">
        <f t="shared" si="8"/>
        <v>362.88000000000005</v>
      </c>
      <c r="F18" s="99">
        <f t="shared" si="8"/>
        <v>725.7600000000001</v>
      </c>
      <c r="G18" s="99">
        <f t="shared" si="8"/>
        <v>829.44</v>
      </c>
      <c r="H18" s="99">
        <f t="shared" si="8"/>
        <v>1036.8</v>
      </c>
      <c r="I18" s="99">
        <f t="shared" si="8"/>
        <v>1088.6399999999999</v>
      </c>
      <c r="J18" s="99">
        <f t="shared" si="8"/>
        <v>673.9200000000001</v>
      </c>
      <c r="K18" s="99">
        <f t="shared" si="8"/>
        <v>466.56</v>
      </c>
      <c r="L18" s="99">
        <f t="shared" si="8"/>
        <v>0</v>
      </c>
      <c r="M18" s="99">
        <f t="shared" si="8"/>
        <v>0</v>
      </c>
      <c r="N18" s="99">
        <f>I78</f>
        <v>5184</v>
      </c>
      <c r="O18" s="94">
        <f t="shared" si="7"/>
        <v>5391.36</v>
      </c>
      <c r="P18" s="94">
        <f t="shared" si="7"/>
        <v>5607.0144</v>
      </c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</row>
    <row r="19" spans="1:37" ht="12.75">
      <c r="A19" s="24" t="s">
        <v>63</v>
      </c>
      <c r="B19" s="99">
        <f t="shared" si="8"/>
        <v>0</v>
      </c>
      <c r="C19" s="99">
        <f t="shared" si="8"/>
        <v>0</v>
      </c>
      <c r="D19" s="99">
        <f t="shared" si="8"/>
        <v>0</v>
      </c>
      <c r="E19" s="99">
        <f t="shared" si="8"/>
        <v>630.07</v>
      </c>
      <c r="F19" s="99">
        <f t="shared" si="8"/>
        <v>1260.14</v>
      </c>
      <c r="G19" s="99">
        <f t="shared" si="8"/>
        <v>1440.16</v>
      </c>
      <c r="H19" s="99">
        <f t="shared" si="8"/>
        <v>1800.2</v>
      </c>
      <c r="I19" s="99">
        <f t="shared" si="8"/>
        <v>1890.21</v>
      </c>
      <c r="J19" s="99">
        <f t="shared" si="8"/>
        <v>1170.13</v>
      </c>
      <c r="K19" s="99">
        <f t="shared" si="8"/>
        <v>810.0899999999999</v>
      </c>
      <c r="L19" s="99">
        <f t="shared" si="8"/>
        <v>0</v>
      </c>
      <c r="M19" s="99">
        <f t="shared" si="8"/>
        <v>0</v>
      </c>
      <c r="N19" s="93">
        <f>I84</f>
        <v>9001</v>
      </c>
      <c r="O19" s="94">
        <f t="shared" si="7"/>
        <v>9361.04</v>
      </c>
      <c r="P19" s="94">
        <f t="shared" si="7"/>
        <v>9735.481600000001</v>
      </c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</row>
    <row r="20" spans="1:37" ht="12.75">
      <c r="A20" s="35" t="s">
        <v>5</v>
      </c>
      <c r="B20" s="99">
        <f t="shared" si="8"/>
        <v>0</v>
      </c>
      <c r="C20" s="99">
        <f t="shared" si="8"/>
        <v>0</v>
      </c>
      <c r="D20" s="99">
        <f t="shared" si="8"/>
        <v>0</v>
      </c>
      <c r="E20" s="99">
        <f t="shared" si="8"/>
        <v>1443.0500000000002</v>
      </c>
      <c r="F20" s="99">
        <f t="shared" si="8"/>
        <v>2886.1000000000004</v>
      </c>
      <c r="G20" s="99">
        <f t="shared" si="8"/>
        <v>3298.4</v>
      </c>
      <c r="H20" s="99">
        <f t="shared" si="8"/>
        <v>4123</v>
      </c>
      <c r="I20" s="99">
        <f t="shared" si="8"/>
        <v>4329.15</v>
      </c>
      <c r="J20" s="99">
        <f t="shared" si="8"/>
        <v>2679.9500000000003</v>
      </c>
      <c r="K20" s="99">
        <f t="shared" si="8"/>
        <v>1855.35</v>
      </c>
      <c r="L20" s="99">
        <f t="shared" si="8"/>
        <v>0</v>
      </c>
      <c r="M20" s="99">
        <f t="shared" si="8"/>
        <v>0</v>
      </c>
      <c r="N20" s="95">
        <f>I90</f>
        <v>20615</v>
      </c>
      <c r="O20" s="94">
        <f t="shared" si="7"/>
        <v>21439.6</v>
      </c>
      <c r="P20" s="94">
        <f t="shared" si="7"/>
        <v>22297.183999999997</v>
      </c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</row>
    <row r="21" spans="1:37" s="113" customFormat="1" ht="12.75">
      <c r="A21" s="79" t="s">
        <v>6</v>
      </c>
      <c r="B21" s="100">
        <f>SUM(B15:B20)</f>
        <v>0</v>
      </c>
      <c r="C21" s="100">
        <f>SUM(C15:C20)</f>
        <v>0</v>
      </c>
      <c r="D21" s="100">
        <v>0</v>
      </c>
      <c r="E21" s="100">
        <f aca="true" t="shared" si="9" ref="E21:P21">SUM(E15:E20)</f>
        <v>3111.0800000000004</v>
      </c>
      <c r="F21" s="100">
        <f t="shared" si="9"/>
        <v>6222.160000000001</v>
      </c>
      <c r="G21" s="100">
        <f t="shared" si="9"/>
        <v>7111.040000000001</v>
      </c>
      <c r="H21" s="100">
        <f t="shared" si="9"/>
        <v>8888.8</v>
      </c>
      <c r="I21" s="100">
        <f t="shared" si="9"/>
        <v>9333.24</v>
      </c>
      <c r="J21" s="100">
        <f t="shared" si="9"/>
        <v>5777.720000000001</v>
      </c>
      <c r="K21" s="100">
        <f t="shared" si="9"/>
        <v>3999.9599999999996</v>
      </c>
      <c r="L21" s="100">
        <f t="shared" si="9"/>
        <v>0</v>
      </c>
      <c r="M21" s="100">
        <f t="shared" si="9"/>
        <v>0</v>
      </c>
      <c r="N21" s="100">
        <f t="shared" si="9"/>
        <v>44444</v>
      </c>
      <c r="O21" s="105">
        <f t="shared" si="9"/>
        <v>46221.759999999995</v>
      </c>
      <c r="P21" s="105">
        <f t="shared" si="9"/>
        <v>48070.630399999995</v>
      </c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</row>
    <row r="22" spans="1:37" ht="12.75">
      <c r="A22" s="36" t="s">
        <v>7</v>
      </c>
      <c r="B22" s="165">
        <f aca="true" t="shared" si="10" ref="B22:P22">IF(B12=0,0,B21/B12)</f>
        <v>0</v>
      </c>
      <c r="C22" s="165">
        <f t="shared" si="10"/>
        <v>0</v>
      </c>
      <c r="D22" s="165">
        <f t="shared" si="10"/>
        <v>0</v>
      </c>
      <c r="E22" s="165">
        <f t="shared" si="10"/>
        <v>0.39157709251101325</v>
      </c>
      <c r="F22" s="165">
        <f t="shared" si="10"/>
        <v>0.39157709251101325</v>
      </c>
      <c r="G22" s="165">
        <f t="shared" si="10"/>
        <v>0.39157709251101325</v>
      </c>
      <c r="H22" s="165">
        <f t="shared" si="10"/>
        <v>0.3915770925110132</v>
      </c>
      <c r="I22" s="165">
        <f t="shared" si="10"/>
        <v>0.3915770925110132</v>
      </c>
      <c r="J22" s="165">
        <f t="shared" si="10"/>
        <v>0.3915770925110133</v>
      </c>
      <c r="K22" s="165">
        <f t="shared" si="10"/>
        <v>0.3915770925110132</v>
      </c>
      <c r="L22" s="165">
        <f t="shared" si="10"/>
        <v>0</v>
      </c>
      <c r="M22" s="165">
        <f t="shared" si="10"/>
        <v>0</v>
      </c>
      <c r="N22" s="165">
        <f t="shared" si="10"/>
        <v>0.3915770925110132</v>
      </c>
      <c r="O22" s="165">
        <f t="shared" si="10"/>
        <v>0.3915770925110132</v>
      </c>
      <c r="P22" s="165">
        <f t="shared" si="10"/>
        <v>0.3953788118557803</v>
      </c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</row>
    <row r="23" spans="1:37" ht="12.75">
      <c r="A23" s="36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1"/>
      <c r="P23" s="21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</row>
    <row r="24" spans="1:16" s="121" customFormat="1" ht="12.75">
      <c r="A24" s="117" t="s">
        <v>8</v>
      </c>
      <c r="B24" s="118">
        <f aca="true" t="shared" si="11" ref="B24:P24">B12-B21</f>
        <v>0</v>
      </c>
      <c r="C24" s="118">
        <f t="shared" si="11"/>
        <v>0</v>
      </c>
      <c r="D24" s="118">
        <f t="shared" si="11"/>
        <v>0</v>
      </c>
      <c r="E24" s="118">
        <f t="shared" si="11"/>
        <v>4833.92</v>
      </c>
      <c r="F24" s="118">
        <f t="shared" si="11"/>
        <v>9667.84</v>
      </c>
      <c r="G24" s="118">
        <f t="shared" si="11"/>
        <v>11048.96</v>
      </c>
      <c r="H24" s="118">
        <f t="shared" si="11"/>
        <v>13811.2</v>
      </c>
      <c r="I24" s="118">
        <f t="shared" si="11"/>
        <v>14501.76</v>
      </c>
      <c r="J24" s="118">
        <f t="shared" si="11"/>
        <v>8977.279999999999</v>
      </c>
      <c r="K24" s="118">
        <f t="shared" si="11"/>
        <v>6215.040000000001</v>
      </c>
      <c r="L24" s="118">
        <f t="shared" si="11"/>
        <v>0</v>
      </c>
      <c r="M24" s="118">
        <f t="shared" si="11"/>
        <v>0</v>
      </c>
      <c r="N24" s="119">
        <f t="shared" si="11"/>
        <v>69056</v>
      </c>
      <c r="O24" s="119">
        <f t="shared" si="11"/>
        <v>71818.24</v>
      </c>
      <c r="P24" s="119">
        <f t="shared" si="11"/>
        <v>73510.5696</v>
      </c>
    </row>
    <row r="25" spans="1:37" ht="12.75">
      <c r="A25" s="24" t="s">
        <v>9</v>
      </c>
      <c r="B25" s="168">
        <f aca="true" t="shared" si="12" ref="B25:P25">IF(B12=0,0,B24/B12)</f>
        <v>0</v>
      </c>
      <c r="C25" s="168">
        <f t="shared" si="12"/>
        <v>0</v>
      </c>
      <c r="D25" s="168">
        <f t="shared" si="12"/>
        <v>0</v>
      </c>
      <c r="E25" s="168">
        <f t="shared" si="12"/>
        <v>0.6084229074889868</v>
      </c>
      <c r="F25" s="168">
        <f t="shared" si="12"/>
        <v>0.6084229074889868</v>
      </c>
      <c r="G25" s="168">
        <f t="shared" si="12"/>
        <v>0.6084229074889868</v>
      </c>
      <c r="H25" s="168">
        <f t="shared" si="12"/>
        <v>0.6084229074889869</v>
      </c>
      <c r="I25" s="168">
        <f t="shared" si="12"/>
        <v>0.6084229074889868</v>
      </c>
      <c r="J25" s="168">
        <f t="shared" si="12"/>
        <v>0.6084229074889868</v>
      </c>
      <c r="K25" s="168">
        <f t="shared" si="12"/>
        <v>0.6084229074889869</v>
      </c>
      <c r="L25" s="168">
        <f t="shared" si="12"/>
        <v>0</v>
      </c>
      <c r="M25" s="168">
        <f t="shared" si="12"/>
        <v>0</v>
      </c>
      <c r="N25" s="168">
        <f t="shared" si="12"/>
        <v>0.6084229074889868</v>
      </c>
      <c r="O25" s="168">
        <f t="shared" si="12"/>
        <v>0.6084229074889869</v>
      </c>
      <c r="P25" s="168">
        <f t="shared" si="12"/>
        <v>0.6046211881442197</v>
      </c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</row>
    <row r="26" spans="1:37" ht="12.75">
      <c r="A26" s="24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1"/>
      <c r="P26" s="21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</row>
    <row r="27" spans="1:37" ht="12.75">
      <c r="A27" s="26" t="s">
        <v>65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"/>
      <c r="P27" s="21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</row>
    <row r="28" spans="1:37" ht="12.75">
      <c r="A28" s="24" t="s">
        <v>66</v>
      </c>
      <c r="B28" s="99">
        <f aca="true" t="shared" si="13" ref="B28:M30">B$2*$N28</f>
        <v>0</v>
      </c>
      <c r="C28" s="99">
        <f t="shared" si="13"/>
        <v>0</v>
      </c>
      <c r="D28" s="99">
        <f t="shared" si="13"/>
        <v>0</v>
      </c>
      <c r="E28" s="99">
        <f t="shared" si="13"/>
        <v>971.6000000000001</v>
      </c>
      <c r="F28" s="99">
        <f t="shared" si="13"/>
        <v>1943.2000000000003</v>
      </c>
      <c r="G28" s="99">
        <f t="shared" si="13"/>
        <v>2220.8</v>
      </c>
      <c r="H28" s="99">
        <f t="shared" si="13"/>
        <v>2776</v>
      </c>
      <c r="I28" s="99">
        <f t="shared" si="13"/>
        <v>2914.7999999999997</v>
      </c>
      <c r="J28" s="99">
        <f t="shared" si="13"/>
        <v>1804.4</v>
      </c>
      <c r="K28" s="99">
        <f t="shared" si="13"/>
        <v>1249.2</v>
      </c>
      <c r="L28" s="99">
        <f t="shared" si="13"/>
        <v>0</v>
      </c>
      <c r="M28" s="99">
        <f t="shared" si="13"/>
        <v>0</v>
      </c>
      <c r="N28" s="93">
        <f>I99</f>
        <v>13880</v>
      </c>
      <c r="O28" s="146">
        <f>N28+(N28*ABS($O$2))</f>
        <v>14435.2</v>
      </c>
      <c r="P28" s="146">
        <f>O28+(O28*ABS($P$2))</f>
        <v>14868.256000000001</v>
      </c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</row>
    <row r="29" spans="1:37" ht="12.75">
      <c r="A29" s="35" t="s">
        <v>68</v>
      </c>
      <c r="B29" s="99">
        <f t="shared" si="13"/>
        <v>0</v>
      </c>
      <c r="C29" s="99">
        <f t="shared" si="13"/>
        <v>0</v>
      </c>
      <c r="D29" s="99">
        <f t="shared" si="13"/>
        <v>0</v>
      </c>
      <c r="E29" s="99">
        <f t="shared" si="13"/>
        <v>1370.39</v>
      </c>
      <c r="F29" s="99">
        <f t="shared" si="13"/>
        <v>2740.78</v>
      </c>
      <c r="G29" s="99">
        <f t="shared" si="13"/>
        <v>3132.32</v>
      </c>
      <c r="H29" s="99">
        <f t="shared" si="13"/>
        <v>3915.4</v>
      </c>
      <c r="I29" s="99">
        <f t="shared" si="13"/>
        <v>4111.17</v>
      </c>
      <c r="J29" s="99">
        <f t="shared" si="13"/>
        <v>2545.01</v>
      </c>
      <c r="K29" s="99">
        <f t="shared" si="13"/>
        <v>1761.9299999999998</v>
      </c>
      <c r="L29" s="99">
        <f t="shared" si="13"/>
        <v>0</v>
      </c>
      <c r="M29" s="99">
        <f t="shared" si="13"/>
        <v>0</v>
      </c>
      <c r="N29" s="93">
        <f>O75</f>
        <v>19577</v>
      </c>
      <c r="O29" s="146">
        <f>N29+(N29*ABS($O$2))</f>
        <v>20360.08</v>
      </c>
      <c r="P29" s="146">
        <f>O29+(O29*ABS($P$2))</f>
        <v>20970.882400000002</v>
      </c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</row>
    <row r="30" spans="1:37" ht="12.75">
      <c r="A30" s="35" t="s">
        <v>40</v>
      </c>
      <c r="B30" s="99">
        <f t="shared" si="13"/>
        <v>0</v>
      </c>
      <c r="C30" s="99">
        <f t="shared" si="13"/>
        <v>0</v>
      </c>
      <c r="D30" s="99">
        <f t="shared" si="13"/>
        <v>0</v>
      </c>
      <c r="E30" s="99">
        <f t="shared" si="13"/>
        <v>320.6</v>
      </c>
      <c r="F30" s="99">
        <f t="shared" si="13"/>
        <v>641.2</v>
      </c>
      <c r="G30" s="99">
        <f t="shared" si="13"/>
        <v>732.8000000000001</v>
      </c>
      <c r="H30" s="99">
        <f t="shared" si="13"/>
        <v>916</v>
      </c>
      <c r="I30" s="99">
        <f t="shared" si="13"/>
        <v>961.8</v>
      </c>
      <c r="J30" s="99">
        <f t="shared" si="13"/>
        <v>595.4</v>
      </c>
      <c r="K30" s="99">
        <f t="shared" si="13"/>
        <v>412.2</v>
      </c>
      <c r="L30" s="99">
        <f t="shared" si="13"/>
        <v>0</v>
      </c>
      <c r="M30" s="99">
        <f t="shared" si="13"/>
        <v>0</v>
      </c>
      <c r="N30" s="93">
        <f>O86</f>
        <v>4580</v>
      </c>
      <c r="O30" s="146">
        <f>N30+(N30*ABS($O$2))</f>
        <v>4763.2</v>
      </c>
      <c r="P30" s="146">
        <f>O30+(O30*ABS($P$2))</f>
        <v>4906.096</v>
      </c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</row>
    <row r="31" spans="1:37" s="116" customFormat="1" ht="12.75">
      <c r="A31" s="82" t="s">
        <v>69</v>
      </c>
      <c r="B31" s="100">
        <v>0</v>
      </c>
      <c r="C31" s="100">
        <v>0</v>
      </c>
      <c r="D31" s="100">
        <v>0</v>
      </c>
      <c r="E31" s="100">
        <f aca="true" t="shared" si="14" ref="E31:K31">SUM(E28:E30)</f>
        <v>2662.59</v>
      </c>
      <c r="F31" s="100">
        <f t="shared" si="14"/>
        <v>5325.18</v>
      </c>
      <c r="G31" s="100">
        <f t="shared" si="14"/>
        <v>6085.920000000001</v>
      </c>
      <c r="H31" s="100">
        <f t="shared" si="14"/>
        <v>7607.4</v>
      </c>
      <c r="I31" s="100">
        <f t="shared" si="14"/>
        <v>7987.7699999999995</v>
      </c>
      <c r="J31" s="100">
        <f t="shared" si="14"/>
        <v>4944.8099999999995</v>
      </c>
      <c r="K31" s="100">
        <f t="shared" si="14"/>
        <v>3423.33</v>
      </c>
      <c r="L31" s="100">
        <v>0</v>
      </c>
      <c r="M31" s="100">
        <v>0</v>
      </c>
      <c r="N31" s="101">
        <f>SUM(N28:N30)</f>
        <v>38037</v>
      </c>
      <c r="O31" s="101">
        <f>SUM(O28:O30)</f>
        <v>39558.479999999996</v>
      </c>
      <c r="P31" s="101">
        <f>SUM(P28:P30)</f>
        <v>40745.2344</v>
      </c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</row>
    <row r="32" spans="1:37" ht="12.75">
      <c r="A32" s="51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106"/>
      <c r="O32" s="114"/>
      <c r="P32" s="114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</row>
    <row r="33" spans="1:37" ht="12.75">
      <c r="A33" s="52" t="s">
        <v>70</v>
      </c>
      <c r="B33" s="93">
        <v>0</v>
      </c>
      <c r="C33" s="93">
        <v>0</v>
      </c>
      <c r="D33" s="93">
        <v>0</v>
      </c>
      <c r="E33" s="93">
        <f aca="true" t="shared" si="15" ref="E33:K33">E24-E31</f>
        <v>2171.33</v>
      </c>
      <c r="F33" s="93">
        <f t="shared" si="15"/>
        <v>4342.66</v>
      </c>
      <c r="G33" s="93">
        <f t="shared" si="15"/>
        <v>4963.039999999998</v>
      </c>
      <c r="H33" s="93">
        <f t="shared" si="15"/>
        <v>6203.800000000001</v>
      </c>
      <c r="I33" s="93">
        <f t="shared" si="15"/>
        <v>6513.990000000001</v>
      </c>
      <c r="J33" s="93">
        <f t="shared" si="15"/>
        <v>4032.4699999999993</v>
      </c>
      <c r="K33" s="93">
        <f t="shared" si="15"/>
        <v>2791.710000000001</v>
      </c>
      <c r="L33" s="93">
        <v>0</v>
      </c>
      <c r="M33" s="93">
        <v>0</v>
      </c>
      <c r="N33" s="106">
        <f>N24-N31</f>
        <v>31019</v>
      </c>
      <c r="O33" s="106">
        <f>O24-O31</f>
        <v>32259.76000000001</v>
      </c>
      <c r="P33" s="106">
        <f>P24-P31</f>
        <v>32765.3352</v>
      </c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</row>
    <row r="34" spans="1:37" ht="12.75">
      <c r="A34" s="35" t="s">
        <v>7</v>
      </c>
      <c r="B34" s="165">
        <f aca="true" t="shared" si="16" ref="B34:P34">IF(B12=0,0,B33/B12)</f>
        <v>0</v>
      </c>
      <c r="C34" s="165">
        <f t="shared" si="16"/>
        <v>0</v>
      </c>
      <c r="D34" s="165">
        <f t="shared" si="16"/>
        <v>0</v>
      </c>
      <c r="E34" s="165">
        <f t="shared" si="16"/>
        <v>0.27329515418502204</v>
      </c>
      <c r="F34" s="165">
        <f t="shared" si="16"/>
        <v>0.27329515418502204</v>
      </c>
      <c r="G34" s="165">
        <f t="shared" si="16"/>
        <v>0.2732951541850219</v>
      </c>
      <c r="H34" s="165">
        <f t="shared" si="16"/>
        <v>0.2732951541850221</v>
      </c>
      <c r="I34" s="165">
        <f t="shared" si="16"/>
        <v>0.27329515418502204</v>
      </c>
      <c r="J34" s="165">
        <f t="shared" si="16"/>
        <v>0.273295154185022</v>
      </c>
      <c r="K34" s="165">
        <f t="shared" si="16"/>
        <v>0.2732951541850221</v>
      </c>
      <c r="L34" s="165">
        <f t="shared" si="16"/>
        <v>0</v>
      </c>
      <c r="M34" s="165">
        <f t="shared" si="16"/>
        <v>0</v>
      </c>
      <c r="N34" s="165">
        <f t="shared" si="16"/>
        <v>0.27329515418502204</v>
      </c>
      <c r="O34" s="165">
        <f t="shared" si="16"/>
        <v>0.2732951541850221</v>
      </c>
      <c r="P34" s="165">
        <f t="shared" si="16"/>
        <v>0.26949343484025495</v>
      </c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</row>
    <row r="35" spans="1:37" ht="12.75">
      <c r="A35" s="35"/>
      <c r="B35" s="12"/>
      <c r="C35" s="12"/>
      <c r="D35" s="12"/>
      <c r="E35" s="54"/>
      <c r="F35" s="54"/>
      <c r="G35" s="54"/>
      <c r="H35" s="54"/>
      <c r="I35" s="54"/>
      <c r="J35" s="54"/>
      <c r="K35" s="54"/>
      <c r="L35" s="12"/>
      <c r="M35" s="12"/>
      <c r="N35" s="54"/>
      <c r="O35" s="54"/>
      <c r="P35" s="54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</row>
    <row r="36" spans="1:37" ht="12.75">
      <c r="A36" s="51" t="s">
        <v>71</v>
      </c>
      <c r="B36" s="12"/>
      <c r="C36" s="12"/>
      <c r="D36" s="12"/>
      <c r="E36" s="54"/>
      <c r="F36" s="12"/>
      <c r="G36" s="12"/>
      <c r="H36" s="12"/>
      <c r="I36" s="12"/>
      <c r="J36" s="12"/>
      <c r="K36" s="12"/>
      <c r="L36" s="12"/>
      <c r="M36" s="12"/>
      <c r="N36" s="12"/>
      <c r="O36" s="1"/>
      <c r="P36" s="21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</row>
    <row r="37" spans="1:37" ht="12.75">
      <c r="A37" s="35" t="s">
        <v>197</v>
      </c>
      <c r="B37" s="99">
        <f aca="true" t="shared" si="17" ref="B37:M37">B$2*$N37</f>
        <v>0</v>
      </c>
      <c r="C37" s="99">
        <f t="shared" si="17"/>
        <v>0</v>
      </c>
      <c r="D37" s="99">
        <f t="shared" si="17"/>
        <v>0</v>
      </c>
      <c r="E37" s="99">
        <f t="shared" si="17"/>
        <v>0</v>
      </c>
      <c r="F37" s="99">
        <f t="shared" si="17"/>
        <v>0</v>
      </c>
      <c r="G37" s="99">
        <f t="shared" si="17"/>
        <v>0</v>
      </c>
      <c r="H37" s="99">
        <f t="shared" si="17"/>
        <v>0</v>
      </c>
      <c r="I37" s="99">
        <f t="shared" si="17"/>
        <v>0</v>
      </c>
      <c r="J37" s="99">
        <f t="shared" si="17"/>
        <v>0</v>
      </c>
      <c r="K37" s="99">
        <f t="shared" si="17"/>
        <v>0</v>
      </c>
      <c r="L37" s="99">
        <f t="shared" si="17"/>
        <v>0</v>
      </c>
      <c r="M37" s="99">
        <f t="shared" si="17"/>
        <v>0</v>
      </c>
      <c r="N37" s="262">
        <v>0</v>
      </c>
      <c r="O37" s="146">
        <f>N37+(N37*ABS($O$2))</f>
        <v>0</v>
      </c>
      <c r="P37" s="146">
        <f>O37+(O37*ABS($P$2))</f>
        <v>0</v>
      </c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</row>
    <row r="38" spans="1:37" ht="12.75">
      <c r="A38" s="24" t="s">
        <v>11</v>
      </c>
      <c r="B38" s="99">
        <f aca="true" t="shared" si="18" ref="B38:M39">B$2*$N38</f>
        <v>0</v>
      </c>
      <c r="C38" s="99">
        <f t="shared" si="18"/>
        <v>0</v>
      </c>
      <c r="D38" s="99">
        <f t="shared" si="18"/>
        <v>0</v>
      </c>
      <c r="E38" s="99">
        <f t="shared" si="18"/>
        <v>64.54</v>
      </c>
      <c r="F38" s="99">
        <f t="shared" si="18"/>
        <v>129.08</v>
      </c>
      <c r="G38" s="99">
        <f t="shared" si="18"/>
        <v>147.52</v>
      </c>
      <c r="H38" s="99">
        <f t="shared" si="18"/>
        <v>184.4</v>
      </c>
      <c r="I38" s="99">
        <f t="shared" si="18"/>
        <v>193.62</v>
      </c>
      <c r="J38" s="99">
        <f t="shared" si="18"/>
        <v>119.86</v>
      </c>
      <c r="K38" s="99">
        <f t="shared" si="18"/>
        <v>82.98</v>
      </c>
      <c r="L38" s="99">
        <f t="shared" si="18"/>
        <v>0</v>
      </c>
      <c r="M38" s="99">
        <f t="shared" si="18"/>
        <v>0</v>
      </c>
      <c r="N38" s="93">
        <f>O78</f>
        <v>922</v>
      </c>
      <c r="O38" s="146">
        <f>N38+(N38*ABS($O$2))</f>
        <v>958.88</v>
      </c>
      <c r="P38" s="146">
        <f>O38+(O38*ABS($P$2))</f>
        <v>987.6464</v>
      </c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</row>
    <row r="39" spans="1:37" ht="12.75">
      <c r="A39" s="35" t="s">
        <v>2</v>
      </c>
      <c r="B39" s="99">
        <f t="shared" si="18"/>
        <v>0</v>
      </c>
      <c r="C39" s="99">
        <f t="shared" si="18"/>
        <v>0</v>
      </c>
      <c r="D39" s="99">
        <f t="shared" si="18"/>
        <v>0</v>
      </c>
      <c r="E39" s="99">
        <f t="shared" si="18"/>
        <v>0</v>
      </c>
      <c r="F39" s="99">
        <f t="shared" si="18"/>
        <v>0</v>
      </c>
      <c r="G39" s="99">
        <f t="shared" si="18"/>
        <v>0</v>
      </c>
      <c r="H39" s="99">
        <f t="shared" si="18"/>
        <v>0</v>
      </c>
      <c r="I39" s="99">
        <f t="shared" si="18"/>
        <v>0</v>
      </c>
      <c r="J39" s="99">
        <f t="shared" si="18"/>
        <v>0</v>
      </c>
      <c r="K39" s="99">
        <f t="shared" si="18"/>
        <v>0</v>
      </c>
      <c r="L39" s="99">
        <f t="shared" si="18"/>
        <v>0</v>
      </c>
      <c r="M39" s="99">
        <f t="shared" si="18"/>
        <v>0</v>
      </c>
      <c r="N39" s="270">
        <v>0</v>
      </c>
      <c r="O39" s="146">
        <f>N39+(N39*ABS($O$2))</f>
        <v>0</v>
      </c>
      <c r="P39" s="146">
        <f>O39+(O39*ABS($P$2))</f>
        <v>0</v>
      </c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</row>
    <row r="40" spans="1:37" s="116" customFormat="1" ht="12.75">
      <c r="A40" s="86" t="s">
        <v>73</v>
      </c>
      <c r="B40" s="100">
        <f>SUM(B28:B39)</f>
        <v>0</v>
      </c>
      <c r="C40" s="100">
        <f>SUM(C28:C39)</f>
        <v>0</v>
      </c>
      <c r="D40" s="100">
        <f>SUM(D28:D39)</f>
        <v>0</v>
      </c>
      <c r="E40" s="100">
        <f aca="true" t="shared" si="19" ref="E40:K40">SUM(E37:E39)</f>
        <v>64.54</v>
      </c>
      <c r="F40" s="100">
        <f t="shared" si="19"/>
        <v>129.08</v>
      </c>
      <c r="G40" s="100">
        <f t="shared" si="19"/>
        <v>147.52</v>
      </c>
      <c r="H40" s="100">
        <f t="shared" si="19"/>
        <v>184.4</v>
      </c>
      <c r="I40" s="100">
        <f t="shared" si="19"/>
        <v>193.62</v>
      </c>
      <c r="J40" s="100">
        <f t="shared" si="19"/>
        <v>119.86</v>
      </c>
      <c r="K40" s="100">
        <f t="shared" si="19"/>
        <v>82.98</v>
      </c>
      <c r="L40" s="100">
        <f>SUM(L28:L39)</f>
        <v>0</v>
      </c>
      <c r="M40" s="100">
        <f>SUM(M28:M39)</f>
        <v>0</v>
      </c>
      <c r="N40" s="100">
        <f>SUM(N37:N39)</f>
        <v>922</v>
      </c>
      <c r="O40" s="100">
        <f>SUM(O37:O39)</f>
        <v>958.88</v>
      </c>
      <c r="P40" s="100">
        <f>SUM(P37:P39)</f>
        <v>987.6464</v>
      </c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</row>
    <row r="41" spans="1:37" ht="12.75">
      <c r="A41" s="44" t="s">
        <v>10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"/>
      <c r="P41" s="21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</row>
    <row r="42" spans="1:37" ht="12.75">
      <c r="A42" s="45" t="s">
        <v>74</v>
      </c>
      <c r="B42" s="91">
        <f>B24-B40</f>
        <v>0</v>
      </c>
      <c r="C42" s="91">
        <f>C24-C40</f>
        <v>0</v>
      </c>
      <c r="D42" s="91">
        <f>D24-D40</f>
        <v>0</v>
      </c>
      <c r="E42" s="91">
        <f aca="true" t="shared" si="20" ref="E42:K42">E33-E40</f>
        <v>2106.79</v>
      </c>
      <c r="F42" s="91">
        <f t="shared" si="20"/>
        <v>4213.58</v>
      </c>
      <c r="G42" s="91">
        <f t="shared" si="20"/>
        <v>4815.519999999998</v>
      </c>
      <c r="H42" s="91">
        <f t="shared" si="20"/>
        <v>6019.4000000000015</v>
      </c>
      <c r="I42" s="91">
        <f t="shared" si="20"/>
        <v>6320.370000000001</v>
      </c>
      <c r="J42" s="91">
        <f t="shared" si="20"/>
        <v>3912.609999999999</v>
      </c>
      <c r="K42" s="91">
        <f t="shared" si="20"/>
        <v>2708.730000000001</v>
      </c>
      <c r="L42" s="91">
        <f>L24-L40</f>
        <v>0</v>
      </c>
      <c r="M42" s="91">
        <f>M24-M40</f>
        <v>0</v>
      </c>
      <c r="N42" s="91">
        <f>N33-N40</f>
        <v>30097</v>
      </c>
      <c r="O42" s="91">
        <f>O33-O40</f>
        <v>31300.88000000001</v>
      </c>
      <c r="P42" s="91">
        <f>P33-P40</f>
        <v>31777.6888</v>
      </c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</row>
    <row r="43" spans="1:37" ht="12.75">
      <c r="A43" s="53" t="s">
        <v>7</v>
      </c>
      <c r="B43" s="165">
        <f aca="true" t="shared" si="21" ref="B43:P43">IF(B12=0,0,B42/B12)</f>
        <v>0</v>
      </c>
      <c r="C43" s="165">
        <f t="shared" si="21"/>
        <v>0</v>
      </c>
      <c r="D43" s="165">
        <f t="shared" si="21"/>
        <v>0</v>
      </c>
      <c r="E43" s="165">
        <f t="shared" si="21"/>
        <v>0.2651718061674009</v>
      </c>
      <c r="F43" s="165">
        <f t="shared" si="21"/>
        <v>0.2651718061674009</v>
      </c>
      <c r="G43" s="165">
        <f t="shared" si="21"/>
        <v>0.26517180616740077</v>
      </c>
      <c r="H43" s="165">
        <f t="shared" si="21"/>
        <v>0.26517180616740094</v>
      </c>
      <c r="I43" s="165">
        <f t="shared" si="21"/>
        <v>0.26517180616740094</v>
      </c>
      <c r="J43" s="165">
        <f t="shared" si="21"/>
        <v>0.2651718061674008</v>
      </c>
      <c r="K43" s="165">
        <f t="shared" si="21"/>
        <v>0.265171806167401</v>
      </c>
      <c r="L43" s="165">
        <f t="shared" si="21"/>
        <v>0</v>
      </c>
      <c r="M43" s="165">
        <f t="shared" si="21"/>
        <v>0</v>
      </c>
      <c r="N43" s="165">
        <f t="shared" si="21"/>
        <v>0.2651718061674009</v>
      </c>
      <c r="O43" s="165">
        <f t="shared" si="21"/>
        <v>0.26517180616740094</v>
      </c>
      <c r="P43" s="165">
        <f t="shared" si="21"/>
        <v>0.26137008682263374</v>
      </c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</row>
    <row r="44" spans="1:37" ht="12.75">
      <c r="A44" s="53"/>
      <c r="B44" s="14"/>
      <c r="C44" s="14"/>
      <c r="D44" s="14"/>
      <c r="E44" s="54"/>
      <c r="F44" s="54"/>
      <c r="G44" s="54"/>
      <c r="H44" s="54"/>
      <c r="I44" s="54"/>
      <c r="J44" s="54"/>
      <c r="K44" s="54"/>
      <c r="L44" s="14"/>
      <c r="M44" s="14"/>
      <c r="N44" s="54"/>
      <c r="O44" s="54"/>
      <c r="P44" s="54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</row>
    <row r="45" spans="1:37" ht="12.75">
      <c r="A45" s="24" t="s">
        <v>157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93">
        <f>SUM(B45:M45)</f>
        <v>0</v>
      </c>
      <c r="O45" s="146">
        <f>N45+(N45*ABS($O$2))</f>
        <v>0</v>
      </c>
      <c r="P45" s="146">
        <f>O45+(O45*ABS($P$2))</f>
        <v>0</v>
      </c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</row>
    <row r="46" spans="1:37" ht="12.75">
      <c r="A46" s="24" t="s">
        <v>158</v>
      </c>
      <c r="B46" s="262">
        <v>0</v>
      </c>
      <c r="C46" s="262">
        <v>0</v>
      </c>
      <c r="D46" s="262">
        <v>0</v>
      </c>
      <c r="E46" s="262">
        <v>100</v>
      </c>
      <c r="F46" s="262">
        <v>100</v>
      </c>
      <c r="G46" s="262">
        <v>100</v>
      </c>
      <c r="H46" s="262">
        <v>100</v>
      </c>
      <c r="I46" s="262">
        <v>100</v>
      </c>
      <c r="J46" s="262">
        <v>100</v>
      </c>
      <c r="K46" s="262">
        <v>100</v>
      </c>
      <c r="L46" s="262">
        <v>0</v>
      </c>
      <c r="M46" s="262">
        <v>0</v>
      </c>
      <c r="N46" s="93">
        <f>SUM(B46:M46)</f>
        <v>700</v>
      </c>
      <c r="O46" s="146">
        <f>N46+(N46*ABS($O$2))</f>
        <v>728</v>
      </c>
      <c r="P46" s="146">
        <f>O46+(O46*ABS($P$2))</f>
        <v>749.84</v>
      </c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</row>
    <row r="47" spans="1:37" ht="12.75">
      <c r="A47" s="24" t="s">
        <v>159</v>
      </c>
      <c r="B47" s="262">
        <v>0</v>
      </c>
      <c r="C47" s="262">
        <v>0</v>
      </c>
      <c r="D47" s="262">
        <v>0</v>
      </c>
      <c r="E47" s="262">
        <v>2150</v>
      </c>
      <c r="F47" s="262">
        <v>2150</v>
      </c>
      <c r="G47" s="262">
        <v>2150</v>
      </c>
      <c r="H47" s="262">
        <v>2150</v>
      </c>
      <c r="I47" s="262">
        <v>2150</v>
      </c>
      <c r="J47" s="262">
        <v>2150</v>
      </c>
      <c r="K47" s="262">
        <v>2150</v>
      </c>
      <c r="L47" s="262">
        <v>0</v>
      </c>
      <c r="M47" s="262">
        <v>0</v>
      </c>
      <c r="N47" s="93">
        <f>SUM(B47:M47)</f>
        <v>15050</v>
      </c>
      <c r="O47" s="146">
        <f>N47+(N47*ABS($O$2))</f>
        <v>15652</v>
      </c>
      <c r="P47" s="146">
        <f>O47+(O47*ABS($P$2))</f>
        <v>16121.56</v>
      </c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</row>
    <row r="48" spans="1:37" s="113" customFormat="1" ht="12.75">
      <c r="A48" s="111" t="s">
        <v>13</v>
      </c>
      <c r="B48" s="100">
        <f>SUM(B46:B46)</f>
        <v>0</v>
      </c>
      <c r="C48" s="100">
        <f>SUM(C46:C46)</f>
        <v>0</v>
      </c>
      <c r="D48" s="100">
        <f>SUM(D46:D46)</f>
        <v>0</v>
      </c>
      <c r="E48" s="100">
        <f>SUM(E46:E47)</f>
        <v>2250</v>
      </c>
      <c r="F48" s="100">
        <f aca="true" t="shared" si="22" ref="F48:P48">SUM(F46:F47)</f>
        <v>2250</v>
      </c>
      <c r="G48" s="100">
        <f t="shared" si="22"/>
        <v>2250</v>
      </c>
      <c r="H48" s="100">
        <f t="shared" si="22"/>
        <v>2250</v>
      </c>
      <c r="I48" s="100">
        <f t="shared" si="22"/>
        <v>2250</v>
      </c>
      <c r="J48" s="100">
        <f t="shared" si="22"/>
        <v>2250</v>
      </c>
      <c r="K48" s="100">
        <f t="shared" si="22"/>
        <v>2250</v>
      </c>
      <c r="L48" s="100">
        <f t="shared" si="22"/>
        <v>0</v>
      </c>
      <c r="M48" s="100">
        <f t="shared" si="22"/>
        <v>0</v>
      </c>
      <c r="N48" s="100">
        <f t="shared" si="22"/>
        <v>15750</v>
      </c>
      <c r="O48" s="100">
        <f t="shared" si="22"/>
        <v>16380</v>
      </c>
      <c r="P48" s="100">
        <f t="shared" si="22"/>
        <v>16871.399999999998</v>
      </c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</row>
    <row r="49" spans="1:37" ht="12.75">
      <c r="A49" s="26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</row>
    <row r="50" spans="1:37" s="131" customFormat="1" ht="13.5" thickBot="1">
      <c r="A50" s="129" t="s">
        <v>14</v>
      </c>
      <c r="B50" s="130">
        <f aca="true" t="shared" si="23" ref="B50:P50">B42-B48</f>
        <v>0</v>
      </c>
      <c r="C50" s="130">
        <f t="shared" si="23"/>
        <v>0</v>
      </c>
      <c r="D50" s="130">
        <f t="shared" si="23"/>
        <v>0</v>
      </c>
      <c r="E50" s="130">
        <f t="shared" si="23"/>
        <v>-143.21000000000004</v>
      </c>
      <c r="F50" s="130">
        <f t="shared" si="23"/>
        <v>1963.58</v>
      </c>
      <c r="G50" s="130">
        <f t="shared" si="23"/>
        <v>2565.5199999999977</v>
      </c>
      <c r="H50" s="130">
        <f t="shared" si="23"/>
        <v>3769.4000000000015</v>
      </c>
      <c r="I50" s="130">
        <f t="shared" si="23"/>
        <v>4070.370000000001</v>
      </c>
      <c r="J50" s="130">
        <f t="shared" si="23"/>
        <v>1662.6099999999992</v>
      </c>
      <c r="K50" s="130">
        <f t="shared" si="23"/>
        <v>458.7300000000009</v>
      </c>
      <c r="L50" s="130">
        <f t="shared" si="23"/>
        <v>0</v>
      </c>
      <c r="M50" s="130">
        <f t="shared" si="23"/>
        <v>0</v>
      </c>
      <c r="N50" s="130">
        <f t="shared" si="23"/>
        <v>14347</v>
      </c>
      <c r="O50" s="130">
        <f t="shared" si="23"/>
        <v>14920.880000000008</v>
      </c>
      <c r="P50" s="130">
        <f t="shared" si="23"/>
        <v>14906.288800000002</v>
      </c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</row>
    <row r="51" spans="1:37" ht="12.75">
      <c r="A51" s="36" t="s">
        <v>7</v>
      </c>
      <c r="B51" s="165">
        <f aca="true" t="shared" si="24" ref="B51:P51">IF(B12=0,0,B50/B12)</f>
        <v>0</v>
      </c>
      <c r="C51" s="165">
        <f t="shared" si="24"/>
        <v>0</v>
      </c>
      <c r="D51" s="165">
        <f t="shared" si="24"/>
        <v>0</v>
      </c>
      <c r="E51" s="165">
        <f t="shared" si="24"/>
        <v>-0.018025173064820647</v>
      </c>
      <c r="F51" s="165">
        <f t="shared" si="24"/>
        <v>0.12357331655129011</v>
      </c>
      <c r="G51" s="165">
        <f t="shared" si="24"/>
        <v>0.14127312775330383</v>
      </c>
      <c r="H51" s="165">
        <f t="shared" si="24"/>
        <v>0.1660528634361234</v>
      </c>
      <c r="I51" s="165">
        <f t="shared" si="24"/>
        <v>0.17077281308999373</v>
      </c>
      <c r="J51" s="165">
        <f t="shared" si="24"/>
        <v>0.11268112504235847</v>
      </c>
      <c r="K51" s="165">
        <f t="shared" si="24"/>
        <v>0.04490748898678423</v>
      </c>
      <c r="L51" s="165">
        <f t="shared" si="24"/>
        <v>0</v>
      </c>
      <c r="M51" s="165">
        <f t="shared" si="24"/>
        <v>0</v>
      </c>
      <c r="N51" s="165">
        <f t="shared" si="24"/>
        <v>0.12640528634361234</v>
      </c>
      <c r="O51" s="165">
        <f t="shared" si="24"/>
        <v>0.1264052863436124</v>
      </c>
      <c r="P51" s="165">
        <f t="shared" si="24"/>
        <v>0.12260356699884524</v>
      </c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</row>
    <row r="52" spans="1:37" ht="12.7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</row>
    <row r="53" spans="1:37" ht="13.5" thickBot="1">
      <c r="A53" s="128" t="s">
        <v>160</v>
      </c>
      <c r="B53" s="109">
        <f>IF(B50&gt;0,B50,0)</f>
        <v>0</v>
      </c>
      <c r="C53" s="109">
        <f aca="true" t="shared" si="25" ref="C53:P53">IF(C50&gt;0,C50,0)</f>
        <v>0</v>
      </c>
      <c r="D53" s="109">
        <f t="shared" si="25"/>
        <v>0</v>
      </c>
      <c r="E53" s="109">
        <f t="shared" si="25"/>
        <v>0</v>
      </c>
      <c r="F53" s="109">
        <f t="shared" si="25"/>
        <v>1963.58</v>
      </c>
      <c r="G53" s="109">
        <f t="shared" si="25"/>
        <v>2565.5199999999977</v>
      </c>
      <c r="H53" s="109">
        <f t="shared" si="25"/>
        <v>3769.4000000000015</v>
      </c>
      <c r="I53" s="109">
        <f t="shared" si="25"/>
        <v>4070.370000000001</v>
      </c>
      <c r="J53" s="109">
        <f t="shared" si="25"/>
        <v>1662.6099999999992</v>
      </c>
      <c r="K53" s="109">
        <f t="shared" si="25"/>
        <v>458.7300000000009</v>
      </c>
      <c r="L53" s="109">
        <f t="shared" si="25"/>
        <v>0</v>
      </c>
      <c r="M53" s="109">
        <f t="shared" si="25"/>
        <v>0</v>
      </c>
      <c r="N53" s="109">
        <f t="shared" si="25"/>
        <v>14347</v>
      </c>
      <c r="O53" s="109">
        <f t="shared" si="25"/>
        <v>14920.880000000008</v>
      </c>
      <c r="P53" s="109">
        <f t="shared" si="25"/>
        <v>14906.288800000002</v>
      </c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</row>
    <row r="54" spans="17:37" ht="12.75"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</row>
    <row r="55" spans="1:16" ht="12.75">
      <c r="A55" s="2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2"/>
      <c r="O55" s="1"/>
      <c r="P55" s="21"/>
    </row>
    <row r="56" spans="1:16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1"/>
      <c r="P56" s="21"/>
    </row>
    <row r="57" spans="1:16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1"/>
      <c r="P57" s="21"/>
    </row>
    <row r="58" spans="1:2" ht="18.75">
      <c r="A58" s="72" t="s">
        <v>85</v>
      </c>
      <c r="B58" s="127" t="s">
        <v>161</v>
      </c>
    </row>
    <row r="59" ht="12.75">
      <c r="B59" s="127" t="s">
        <v>86</v>
      </c>
    </row>
    <row r="60" ht="12.75">
      <c r="B60" s="127" t="s">
        <v>87</v>
      </c>
    </row>
    <row r="61" ht="12.75">
      <c r="B61" s="127" t="s">
        <v>88</v>
      </c>
    </row>
    <row r="62" ht="12.75">
      <c r="B62" s="127" t="s">
        <v>89</v>
      </c>
    </row>
    <row r="63" ht="12.75">
      <c r="B63" s="127" t="s">
        <v>90</v>
      </c>
    </row>
    <row r="64" spans="2:5" ht="12.75">
      <c r="B64" s="127"/>
      <c r="E64" s="132"/>
    </row>
    <row r="66" ht="19.5">
      <c r="A66" s="73" t="s">
        <v>141</v>
      </c>
    </row>
    <row r="68" spans="1:44" s="210" customFormat="1" ht="12.75">
      <c r="A68" s="281" t="s">
        <v>135</v>
      </c>
      <c r="B68" s="282"/>
      <c r="C68" s="282"/>
      <c r="D68" s="282"/>
      <c r="E68" s="281" t="s">
        <v>134</v>
      </c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</row>
    <row r="69" spans="1:44" s="210" customFormat="1" ht="12.75">
      <c r="A69" s="282"/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  <c r="AO69" s="290"/>
      <c r="AP69" s="290"/>
      <c r="AQ69" s="290"/>
      <c r="AR69" s="290"/>
    </row>
    <row r="70" spans="1:44" s="210" customFormat="1" ht="12.75">
      <c r="A70" s="281" t="s">
        <v>136</v>
      </c>
      <c r="B70" s="282"/>
      <c r="C70" s="282"/>
      <c r="D70" s="282"/>
      <c r="E70" s="281" t="s">
        <v>114</v>
      </c>
      <c r="F70" s="282"/>
      <c r="G70" s="282"/>
      <c r="H70" s="282"/>
      <c r="I70" s="282"/>
      <c r="J70" s="282"/>
      <c r="K70" s="281" t="s">
        <v>68</v>
      </c>
      <c r="L70" s="282"/>
      <c r="M70" s="282"/>
      <c r="N70" s="282"/>
      <c r="O70" s="282"/>
      <c r="P70" s="282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  <c r="AO70" s="290"/>
      <c r="AP70" s="290"/>
      <c r="AQ70" s="290"/>
      <c r="AR70" s="290"/>
    </row>
    <row r="71" spans="1:44" s="210" customFormat="1" ht="12.75">
      <c r="A71" s="281"/>
      <c r="B71" s="282"/>
      <c r="C71" s="282"/>
      <c r="D71" s="282"/>
      <c r="E71" s="281"/>
      <c r="F71" s="282"/>
      <c r="G71" s="282"/>
      <c r="H71" s="282"/>
      <c r="I71" s="282"/>
      <c r="J71" s="282"/>
      <c r="K71" s="282" t="s">
        <v>125</v>
      </c>
      <c r="L71" s="282"/>
      <c r="M71" s="282"/>
      <c r="N71" s="282"/>
      <c r="O71" s="283">
        <v>7050</v>
      </c>
      <c r="P71" s="282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  <c r="AO71" s="290"/>
      <c r="AP71" s="290"/>
      <c r="AQ71" s="290"/>
      <c r="AR71" s="290"/>
    </row>
    <row r="72" spans="1:44" s="210" customFormat="1" ht="12.75">
      <c r="A72" s="284" t="s">
        <v>91</v>
      </c>
      <c r="B72" s="282"/>
      <c r="C72" s="282"/>
      <c r="D72" s="282"/>
      <c r="E72" s="282" t="s">
        <v>115</v>
      </c>
      <c r="F72" s="282"/>
      <c r="G72" s="282"/>
      <c r="H72" s="282"/>
      <c r="I72" s="295">
        <v>1030</v>
      </c>
      <c r="J72" s="282"/>
      <c r="K72" s="304" t="s">
        <v>126</v>
      </c>
      <c r="L72" s="282"/>
      <c r="M72" s="282"/>
      <c r="N72" s="282"/>
      <c r="O72" s="283">
        <v>4800</v>
      </c>
      <c r="P72" s="282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  <c r="AO72" s="290"/>
      <c r="AP72" s="290"/>
      <c r="AQ72" s="290"/>
      <c r="AR72" s="290"/>
    </row>
    <row r="73" spans="1:44" s="210" customFormat="1" ht="12.75">
      <c r="A73" s="282" t="s">
        <v>100</v>
      </c>
      <c r="B73" s="282"/>
      <c r="C73" s="283">
        <v>5000</v>
      </c>
      <c r="D73" s="282"/>
      <c r="E73" s="282"/>
      <c r="F73" s="282"/>
      <c r="G73" s="282"/>
      <c r="H73" s="282"/>
      <c r="I73" s="285"/>
      <c r="J73" s="282"/>
      <c r="K73" s="304" t="s">
        <v>123</v>
      </c>
      <c r="L73" s="282"/>
      <c r="M73" s="282"/>
      <c r="N73" s="282"/>
      <c r="O73" s="283">
        <v>3500</v>
      </c>
      <c r="P73" s="282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  <c r="AO73" s="290"/>
      <c r="AP73" s="290"/>
      <c r="AQ73" s="290"/>
      <c r="AR73" s="290"/>
    </row>
    <row r="74" spans="1:44" s="210" customFormat="1" ht="12.75">
      <c r="A74" s="282" t="s">
        <v>92</v>
      </c>
      <c r="B74" s="282"/>
      <c r="C74" s="283">
        <v>7000</v>
      </c>
      <c r="D74" s="282"/>
      <c r="E74" s="282" t="s">
        <v>75</v>
      </c>
      <c r="F74" s="282"/>
      <c r="G74" s="282"/>
      <c r="H74" s="282"/>
      <c r="I74" s="295">
        <v>3430</v>
      </c>
      <c r="J74" s="282"/>
      <c r="K74" s="282" t="s">
        <v>139</v>
      </c>
      <c r="L74" s="282"/>
      <c r="M74" s="282"/>
      <c r="N74" s="282"/>
      <c r="O74" s="283">
        <v>4227</v>
      </c>
      <c r="P74" s="282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  <c r="AM74" s="290"/>
      <c r="AN74" s="290"/>
      <c r="AO74" s="290"/>
      <c r="AP74" s="290"/>
      <c r="AQ74" s="290"/>
      <c r="AR74" s="290"/>
    </row>
    <row r="75" spans="1:44" s="210" customFormat="1" ht="12.75">
      <c r="A75" s="282" t="s">
        <v>93</v>
      </c>
      <c r="B75" s="282"/>
      <c r="C75" s="283">
        <v>6000</v>
      </c>
      <c r="D75" s="282"/>
      <c r="E75" s="282"/>
      <c r="F75" s="282"/>
      <c r="G75" s="282"/>
      <c r="H75" s="282"/>
      <c r="I75" s="282"/>
      <c r="J75" s="282"/>
      <c r="K75" s="271" t="s">
        <v>127</v>
      </c>
      <c r="L75" s="290"/>
      <c r="M75" s="290"/>
      <c r="N75" s="290"/>
      <c r="O75" s="291">
        <f>SUM(O71:O74)</f>
        <v>19577</v>
      </c>
      <c r="P75" s="282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  <c r="AH75" s="290"/>
      <c r="AI75" s="290"/>
      <c r="AJ75" s="290"/>
      <c r="AK75" s="290"/>
      <c r="AL75" s="290"/>
      <c r="AM75" s="290"/>
      <c r="AN75" s="290"/>
      <c r="AO75" s="290"/>
      <c r="AP75" s="290"/>
      <c r="AQ75" s="290"/>
      <c r="AR75" s="290"/>
    </row>
    <row r="76" spans="1:44" s="210" customFormat="1" ht="12.75">
      <c r="A76" s="282" t="s">
        <v>94</v>
      </c>
      <c r="B76" s="282"/>
      <c r="C76" s="287"/>
      <c r="D76" s="282"/>
      <c r="E76" s="282" t="s">
        <v>108</v>
      </c>
      <c r="F76" s="282"/>
      <c r="G76" s="282"/>
      <c r="H76" s="282"/>
      <c r="I76" s="285">
        <v>1114</v>
      </c>
      <c r="J76" s="282"/>
      <c r="K76" s="282"/>
      <c r="L76" s="282"/>
      <c r="M76" s="282"/>
      <c r="N76" s="282"/>
      <c r="O76" s="282"/>
      <c r="P76" s="282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290"/>
      <c r="AK76" s="290"/>
      <c r="AL76" s="290"/>
      <c r="AM76" s="290"/>
      <c r="AN76" s="290"/>
      <c r="AO76" s="290"/>
      <c r="AP76" s="290"/>
      <c r="AQ76" s="290"/>
      <c r="AR76" s="290"/>
    </row>
    <row r="77" spans="1:44" s="210" customFormat="1" ht="12.75">
      <c r="A77" s="282" t="s">
        <v>102</v>
      </c>
      <c r="B77" s="282"/>
      <c r="C77" s="283">
        <v>7500</v>
      </c>
      <c r="D77" s="282"/>
      <c r="E77" s="282" t="s">
        <v>109</v>
      </c>
      <c r="F77" s="282"/>
      <c r="G77" s="282"/>
      <c r="H77" s="282"/>
      <c r="I77" s="285">
        <v>4070</v>
      </c>
      <c r="J77" s="282"/>
      <c r="K77" s="282"/>
      <c r="L77" s="282"/>
      <c r="M77" s="282"/>
      <c r="N77" s="282"/>
      <c r="O77" s="282"/>
      <c r="P77" s="282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0"/>
      <c r="AH77" s="290"/>
      <c r="AI77" s="290"/>
      <c r="AJ77" s="290"/>
      <c r="AK77" s="290"/>
      <c r="AL77" s="290"/>
      <c r="AM77" s="290"/>
      <c r="AN77" s="290"/>
      <c r="AO77" s="290"/>
      <c r="AP77" s="290"/>
      <c r="AQ77" s="290"/>
      <c r="AR77" s="290"/>
    </row>
    <row r="78" spans="1:44" s="210" customFormat="1" ht="12.75">
      <c r="A78" s="282" t="s">
        <v>103</v>
      </c>
      <c r="B78" s="282"/>
      <c r="C78" s="283">
        <v>12500</v>
      </c>
      <c r="D78" s="282"/>
      <c r="E78" s="282"/>
      <c r="F78" s="282"/>
      <c r="G78" s="282"/>
      <c r="H78" s="282"/>
      <c r="I78" s="294">
        <f>SUM(I76:I77)</f>
        <v>5184</v>
      </c>
      <c r="J78" s="282"/>
      <c r="K78" s="271" t="s">
        <v>11</v>
      </c>
      <c r="L78" s="290"/>
      <c r="M78" s="290"/>
      <c r="N78" s="290"/>
      <c r="O78" s="296">
        <v>922</v>
      </c>
      <c r="P78" s="282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  <c r="AE78" s="290"/>
      <c r="AF78" s="290"/>
      <c r="AG78" s="290"/>
      <c r="AH78" s="290"/>
      <c r="AI78" s="290"/>
      <c r="AJ78" s="290"/>
      <c r="AK78" s="290"/>
      <c r="AL78" s="290"/>
      <c r="AM78" s="290"/>
      <c r="AN78" s="290"/>
      <c r="AO78" s="290"/>
      <c r="AP78" s="290"/>
      <c r="AQ78" s="290"/>
      <c r="AR78" s="290"/>
    </row>
    <row r="79" spans="1:44" s="210" customFormat="1" ht="12.75">
      <c r="A79" s="282" t="s">
        <v>99</v>
      </c>
      <c r="B79" s="282"/>
      <c r="C79" s="283">
        <v>24000</v>
      </c>
      <c r="D79" s="282"/>
      <c r="E79" s="282"/>
      <c r="F79" s="282"/>
      <c r="G79" s="282"/>
      <c r="H79" s="282"/>
      <c r="I79" s="288"/>
      <c r="J79" s="282"/>
      <c r="K79" s="282"/>
      <c r="L79" s="282"/>
      <c r="M79" s="282"/>
      <c r="N79" s="282"/>
      <c r="O79" s="282"/>
      <c r="P79" s="282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  <c r="AH79" s="290"/>
      <c r="AI79" s="290"/>
      <c r="AJ79" s="290"/>
      <c r="AK79" s="290"/>
      <c r="AL79" s="290"/>
      <c r="AM79" s="290"/>
      <c r="AN79" s="290"/>
      <c r="AO79" s="290"/>
      <c r="AP79" s="290"/>
      <c r="AQ79" s="290"/>
      <c r="AR79" s="290"/>
    </row>
    <row r="80" spans="1:44" s="210" customFormat="1" ht="12.75">
      <c r="A80" s="271" t="s">
        <v>95</v>
      </c>
      <c r="B80" s="290"/>
      <c r="C80" s="291">
        <f>SUM(C73:C79)</f>
        <v>62000</v>
      </c>
      <c r="D80" s="282"/>
      <c r="E80" s="282" t="s">
        <v>118</v>
      </c>
      <c r="F80" s="282"/>
      <c r="G80" s="282"/>
      <c r="H80" s="282"/>
      <c r="I80" s="295">
        <v>2593</v>
      </c>
      <c r="J80" s="282"/>
      <c r="K80" s="282"/>
      <c r="L80" s="282"/>
      <c r="M80" s="282"/>
      <c r="N80" s="282"/>
      <c r="O80" s="282"/>
      <c r="P80" s="282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90"/>
      <c r="AN80" s="290"/>
      <c r="AO80" s="290"/>
      <c r="AP80" s="290"/>
      <c r="AQ80" s="290"/>
      <c r="AR80" s="290"/>
    </row>
    <row r="81" spans="1:44" s="210" customFormat="1" ht="12.75">
      <c r="A81" s="282"/>
      <c r="B81" s="282"/>
      <c r="C81" s="282"/>
      <c r="D81" s="282"/>
      <c r="E81" s="282"/>
      <c r="F81" s="282"/>
      <c r="G81" s="282"/>
      <c r="H81" s="282"/>
      <c r="I81" s="285"/>
      <c r="J81" s="282"/>
      <c r="K81" s="281" t="s">
        <v>40</v>
      </c>
      <c r="L81" s="282"/>
      <c r="M81" s="282"/>
      <c r="N81" s="282"/>
      <c r="O81" s="282"/>
      <c r="P81" s="282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90"/>
      <c r="AL81" s="290"/>
      <c r="AM81" s="290"/>
      <c r="AN81" s="290"/>
      <c r="AO81" s="290"/>
      <c r="AP81" s="290"/>
      <c r="AQ81" s="290"/>
      <c r="AR81" s="290"/>
    </row>
    <row r="82" spans="1:44" s="210" customFormat="1" ht="12.75">
      <c r="A82" s="284" t="s">
        <v>96</v>
      </c>
      <c r="B82" s="282"/>
      <c r="C82" s="282"/>
      <c r="D82" s="282"/>
      <c r="E82" s="282" t="s">
        <v>63</v>
      </c>
      <c r="F82" s="282"/>
      <c r="G82" s="282"/>
      <c r="H82" s="282"/>
      <c r="I82" s="285">
        <v>5390</v>
      </c>
      <c r="J82" s="282"/>
      <c r="K82" s="282" t="s">
        <v>128</v>
      </c>
      <c r="L82" s="282"/>
      <c r="M82" s="282"/>
      <c r="N82" s="282"/>
      <c r="O82" s="283">
        <v>1150</v>
      </c>
      <c r="P82" s="282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290"/>
      <c r="AD82" s="290"/>
      <c r="AE82" s="290"/>
      <c r="AF82" s="290"/>
      <c r="AG82" s="290"/>
      <c r="AH82" s="290"/>
      <c r="AI82" s="290"/>
      <c r="AJ82" s="290"/>
      <c r="AK82" s="290"/>
      <c r="AL82" s="290"/>
      <c r="AM82" s="290"/>
      <c r="AN82" s="290"/>
      <c r="AO82" s="290"/>
      <c r="AP82" s="290"/>
      <c r="AQ82" s="290"/>
      <c r="AR82" s="290"/>
    </row>
    <row r="83" spans="1:44" s="210" customFormat="1" ht="12.75">
      <c r="A83" s="282" t="s">
        <v>97</v>
      </c>
      <c r="B83" s="282"/>
      <c r="C83" s="283">
        <v>15000</v>
      </c>
      <c r="D83" s="282"/>
      <c r="E83" s="282" t="s">
        <v>116</v>
      </c>
      <c r="F83" s="282"/>
      <c r="G83" s="282"/>
      <c r="H83" s="282"/>
      <c r="I83" s="285">
        <v>3611</v>
      </c>
      <c r="J83" s="282"/>
      <c r="K83" s="282" t="s">
        <v>129</v>
      </c>
      <c r="L83" s="282"/>
      <c r="M83" s="282"/>
      <c r="N83" s="282"/>
      <c r="O83" s="283">
        <v>445</v>
      </c>
      <c r="P83" s="282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0"/>
      <c r="AC83" s="290"/>
      <c r="AD83" s="290"/>
      <c r="AE83" s="290"/>
      <c r="AF83" s="290"/>
      <c r="AG83" s="290"/>
      <c r="AH83" s="290"/>
      <c r="AI83" s="290"/>
      <c r="AJ83" s="290"/>
      <c r="AK83" s="290"/>
      <c r="AL83" s="290"/>
      <c r="AM83" s="290"/>
      <c r="AN83" s="290"/>
      <c r="AO83" s="290"/>
      <c r="AP83" s="290"/>
      <c r="AQ83" s="290"/>
      <c r="AR83" s="290"/>
    </row>
    <row r="84" spans="1:44" s="210" customFormat="1" ht="12.75">
      <c r="A84" s="282" t="s">
        <v>98</v>
      </c>
      <c r="B84" s="282"/>
      <c r="C84" s="283">
        <v>6000</v>
      </c>
      <c r="D84" s="282"/>
      <c r="E84" s="282"/>
      <c r="F84" s="282"/>
      <c r="G84" s="282"/>
      <c r="H84" s="282"/>
      <c r="I84" s="294">
        <f>SUM(I82:I83)</f>
        <v>9001</v>
      </c>
      <c r="J84" s="282"/>
      <c r="K84" s="282" t="s">
        <v>130</v>
      </c>
      <c r="L84" s="282"/>
      <c r="M84" s="282"/>
      <c r="N84" s="282"/>
      <c r="O84" s="283">
        <v>2125</v>
      </c>
      <c r="P84" s="282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290"/>
      <c r="AD84" s="290"/>
      <c r="AE84" s="290"/>
      <c r="AF84" s="290"/>
      <c r="AG84" s="290"/>
      <c r="AH84" s="290"/>
      <c r="AI84" s="290"/>
      <c r="AJ84" s="290"/>
      <c r="AK84" s="290"/>
      <c r="AL84" s="290"/>
      <c r="AM84" s="290"/>
      <c r="AN84" s="290"/>
      <c r="AO84" s="290"/>
      <c r="AP84" s="290"/>
      <c r="AQ84" s="290"/>
      <c r="AR84" s="290"/>
    </row>
    <row r="85" spans="1:44" s="210" customFormat="1" ht="12.75">
      <c r="A85" s="271" t="s">
        <v>106</v>
      </c>
      <c r="B85" s="290"/>
      <c r="C85" s="291">
        <f>SUM(C83:C84)</f>
        <v>21000</v>
      </c>
      <c r="D85" s="282"/>
      <c r="E85" s="282"/>
      <c r="F85" s="282"/>
      <c r="G85" s="282"/>
      <c r="H85" s="282"/>
      <c r="I85" s="282"/>
      <c r="J85" s="282"/>
      <c r="K85" s="282" t="s">
        <v>131</v>
      </c>
      <c r="L85" s="282"/>
      <c r="M85" s="282"/>
      <c r="N85" s="282"/>
      <c r="O85" s="283">
        <v>860</v>
      </c>
      <c r="P85" s="282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290"/>
      <c r="AN85" s="290"/>
      <c r="AO85" s="290"/>
      <c r="AP85" s="290"/>
      <c r="AQ85" s="290"/>
      <c r="AR85" s="290"/>
    </row>
    <row r="86" spans="1:44" s="210" customFormat="1" ht="12.75">
      <c r="A86" s="282"/>
      <c r="B86" s="282"/>
      <c r="C86" s="282"/>
      <c r="D86" s="282"/>
      <c r="E86" s="271" t="s">
        <v>117</v>
      </c>
      <c r="F86" s="290"/>
      <c r="G86" s="290"/>
      <c r="H86" s="290"/>
      <c r="I86" s="292">
        <f>I72+I74+I78+I80+I84</f>
        <v>21238</v>
      </c>
      <c r="J86" s="282"/>
      <c r="K86" s="271" t="s">
        <v>132</v>
      </c>
      <c r="L86" s="290"/>
      <c r="M86" s="290"/>
      <c r="N86" s="290"/>
      <c r="O86" s="291">
        <f>SUM(O82:O85)</f>
        <v>4580</v>
      </c>
      <c r="P86" s="282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  <c r="AD86" s="290"/>
      <c r="AE86" s="290"/>
      <c r="AF86" s="290"/>
      <c r="AG86" s="290"/>
      <c r="AH86" s="290"/>
      <c r="AI86" s="290"/>
      <c r="AJ86" s="290"/>
      <c r="AK86" s="290"/>
      <c r="AL86" s="290"/>
      <c r="AM86" s="290"/>
      <c r="AN86" s="290"/>
      <c r="AO86" s="290"/>
      <c r="AP86" s="290"/>
      <c r="AQ86" s="290"/>
      <c r="AR86" s="290"/>
    </row>
    <row r="87" spans="1:44" s="210" customFormat="1" ht="12.75">
      <c r="A87" s="282" t="s">
        <v>162</v>
      </c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0"/>
      <c r="AI87" s="290"/>
      <c r="AJ87" s="290"/>
      <c r="AK87" s="290"/>
      <c r="AL87" s="290"/>
      <c r="AM87" s="290"/>
      <c r="AN87" s="290"/>
      <c r="AO87" s="290"/>
      <c r="AP87" s="290"/>
      <c r="AQ87" s="290"/>
      <c r="AR87" s="290"/>
    </row>
    <row r="88" spans="1:44" s="210" customFormat="1" ht="12.75">
      <c r="A88" s="282" t="s">
        <v>101</v>
      </c>
      <c r="B88" s="282"/>
      <c r="C88" s="289">
        <v>0</v>
      </c>
      <c r="D88" s="282"/>
      <c r="E88" s="282" t="s">
        <v>137</v>
      </c>
      <c r="F88" s="282"/>
      <c r="G88" s="282"/>
      <c r="H88" s="282"/>
      <c r="I88" s="283">
        <v>18140</v>
      </c>
      <c r="J88" s="282"/>
      <c r="K88" s="282"/>
      <c r="L88" s="282"/>
      <c r="M88" s="282"/>
      <c r="N88" s="282"/>
      <c r="O88" s="282"/>
      <c r="P88" s="282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290"/>
      <c r="AD88" s="290"/>
      <c r="AE88" s="290"/>
      <c r="AF88" s="290"/>
      <c r="AG88" s="290"/>
      <c r="AH88" s="290"/>
      <c r="AI88" s="290"/>
      <c r="AJ88" s="290"/>
      <c r="AK88" s="290"/>
      <c r="AL88" s="290"/>
      <c r="AM88" s="290"/>
      <c r="AN88" s="290"/>
      <c r="AO88" s="290"/>
      <c r="AP88" s="290"/>
      <c r="AQ88" s="290"/>
      <c r="AR88" s="290"/>
    </row>
    <row r="89" spans="1:44" s="210" customFormat="1" ht="12.75">
      <c r="A89" s="282" t="s">
        <v>107</v>
      </c>
      <c r="B89" s="282"/>
      <c r="C89" s="283">
        <v>5000</v>
      </c>
      <c r="D89" s="282"/>
      <c r="E89" s="282" t="s">
        <v>133</v>
      </c>
      <c r="F89" s="282"/>
      <c r="G89" s="282"/>
      <c r="H89" s="282"/>
      <c r="I89" s="283">
        <v>2475</v>
      </c>
      <c r="J89" s="282"/>
      <c r="K89" s="282"/>
      <c r="L89" s="282"/>
      <c r="M89" s="282"/>
      <c r="N89" s="282"/>
      <c r="O89" s="282"/>
      <c r="P89" s="282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290"/>
      <c r="AG89" s="290"/>
      <c r="AH89" s="290"/>
      <c r="AI89" s="290"/>
      <c r="AJ89" s="290"/>
      <c r="AK89" s="290"/>
      <c r="AL89" s="290"/>
      <c r="AM89" s="290"/>
      <c r="AN89" s="290"/>
      <c r="AO89" s="290"/>
      <c r="AP89" s="290"/>
      <c r="AQ89" s="290"/>
      <c r="AR89" s="290"/>
    </row>
    <row r="90" spans="1:44" s="210" customFormat="1" ht="12.75">
      <c r="A90" s="282" t="s">
        <v>104</v>
      </c>
      <c r="B90" s="282"/>
      <c r="C90" s="283">
        <v>8000</v>
      </c>
      <c r="D90" s="282"/>
      <c r="E90" s="271" t="s">
        <v>5</v>
      </c>
      <c r="F90" s="290"/>
      <c r="G90" s="290"/>
      <c r="H90" s="290"/>
      <c r="I90" s="291">
        <f>SUM(I88:I89)</f>
        <v>20615</v>
      </c>
      <c r="J90" s="282"/>
      <c r="K90" s="282"/>
      <c r="L90" s="282"/>
      <c r="M90" s="282"/>
      <c r="N90" s="282"/>
      <c r="O90" s="282"/>
      <c r="P90" s="282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0"/>
      <c r="AC90" s="290"/>
      <c r="AD90" s="290"/>
      <c r="AE90" s="290"/>
      <c r="AF90" s="290"/>
      <c r="AG90" s="290"/>
      <c r="AH90" s="290"/>
      <c r="AI90" s="290"/>
      <c r="AJ90" s="290"/>
      <c r="AK90" s="290"/>
      <c r="AL90" s="290"/>
      <c r="AM90" s="290"/>
      <c r="AN90" s="290"/>
      <c r="AO90" s="290"/>
      <c r="AP90" s="290"/>
      <c r="AQ90" s="290"/>
      <c r="AR90" s="290"/>
    </row>
    <row r="91" spans="1:44" s="210" customFormat="1" ht="12.75">
      <c r="A91" s="271" t="s">
        <v>105</v>
      </c>
      <c r="B91" s="290"/>
      <c r="C91" s="291">
        <f>SUM(C88:C90)</f>
        <v>13000</v>
      </c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  <c r="AD91" s="290"/>
      <c r="AE91" s="290"/>
      <c r="AF91" s="290"/>
      <c r="AG91" s="290"/>
      <c r="AH91" s="290"/>
      <c r="AI91" s="290"/>
      <c r="AJ91" s="290"/>
      <c r="AK91" s="290"/>
      <c r="AL91" s="290"/>
      <c r="AM91" s="290"/>
      <c r="AN91" s="290"/>
      <c r="AO91" s="290"/>
      <c r="AP91" s="290"/>
      <c r="AQ91" s="290"/>
      <c r="AR91" s="290"/>
    </row>
    <row r="92" spans="1:44" s="210" customFormat="1" ht="12.75">
      <c r="A92" s="282"/>
      <c r="B92" s="282"/>
      <c r="C92" s="282"/>
      <c r="D92" s="282"/>
      <c r="E92" s="281" t="s">
        <v>65</v>
      </c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0"/>
      <c r="AH92" s="290"/>
      <c r="AI92" s="290"/>
      <c r="AJ92" s="290"/>
      <c r="AK92" s="290"/>
      <c r="AL92" s="290"/>
      <c r="AM92" s="290"/>
      <c r="AN92" s="290"/>
      <c r="AO92" s="290"/>
      <c r="AP92" s="290"/>
      <c r="AQ92" s="290"/>
      <c r="AR92" s="290"/>
    </row>
    <row r="93" spans="1:44" s="210" customFormat="1" ht="12.75">
      <c r="A93" s="282" t="s">
        <v>112</v>
      </c>
      <c r="B93" s="282"/>
      <c r="C93" s="282"/>
      <c r="D93" s="282"/>
      <c r="E93" s="282" t="s">
        <v>119</v>
      </c>
      <c r="F93" s="282"/>
      <c r="G93" s="282"/>
      <c r="H93" s="282"/>
      <c r="I93" s="283">
        <v>1100</v>
      </c>
      <c r="J93" s="282"/>
      <c r="K93" s="282"/>
      <c r="L93" s="282"/>
      <c r="M93" s="282"/>
      <c r="N93" s="282"/>
      <c r="O93" s="282"/>
      <c r="P93" s="282"/>
      <c r="Q93" s="290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0"/>
      <c r="AC93" s="290"/>
      <c r="AD93" s="290"/>
      <c r="AE93" s="290"/>
      <c r="AF93" s="290"/>
      <c r="AG93" s="290"/>
      <c r="AH93" s="290"/>
      <c r="AI93" s="290"/>
      <c r="AJ93" s="290"/>
      <c r="AK93" s="290"/>
      <c r="AL93" s="290"/>
      <c r="AM93" s="290"/>
      <c r="AN93" s="290"/>
      <c r="AO93" s="290"/>
      <c r="AP93" s="290"/>
      <c r="AQ93" s="290"/>
      <c r="AR93" s="290"/>
    </row>
    <row r="94" spans="1:44" s="210" customFormat="1" ht="12.75">
      <c r="A94" s="282" t="s">
        <v>108</v>
      </c>
      <c r="B94" s="282"/>
      <c r="C94" s="283">
        <v>4300</v>
      </c>
      <c r="D94" s="282"/>
      <c r="E94" s="282" t="s">
        <v>120</v>
      </c>
      <c r="F94" s="282"/>
      <c r="G94" s="282"/>
      <c r="H94" s="282"/>
      <c r="I94" s="283">
        <v>1200</v>
      </c>
      <c r="J94" s="282"/>
      <c r="K94" s="282"/>
      <c r="L94" s="282"/>
      <c r="M94" s="282"/>
      <c r="N94" s="282"/>
      <c r="O94" s="282"/>
      <c r="P94" s="282"/>
      <c r="Q94" s="290"/>
      <c r="R94" s="290"/>
      <c r="S94" s="290"/>
      <c r="T94" s="290"/>
      <c r="U94" s="290"/>
      <c r="V94" s="290"/>
      <c r="W94" s="290"/>
      <c r="X94" s="290"/>
      <c r="Y94" s="290"/>
      <c r="Z94" s="290"/>
      <c r="AA94" s="290"/>
      <c r="AB94" s="290"/>
      <c r="AC94" s="290"/>
      <c r="AD94" s="290"/>
      <c r="AE94" s="290"/>
      <c r="AF94" s="290"/>
      <c r="AG94" s="290"/>
      <c r="AH94" s="290"/>
      <c r="AI94" s="290"/>
      <c r="AJ94" s="290"/>
      <c r="AK94" s="290"/>
      <c r="AL94" s="290"/>
      <c r="AM94" s="290"/>
      <c r="AN94" s="290"/>
      <c r="AO94" s="290"/>
      <c r="AP94" s="290"/>
      <c r="AQ94" s="290"/>
      <c r="AR94" s="290"/>
    </row>
    <row r="95" spans="1:44" s="210" customFormat="1" ht="12.75">
      <c r="A95" s="282" t="s">
        <v>75</v>
      </c>
      <c r="B95" s="282"/>
      <c r="C95" s="283">
        <v>1000</v>
      </c>
      <c r="D95" s="282"/>
      <c r="E95" s="282" t="s">
        <v>121</v>
      </c>
      <c r="F95" s="282"/>
      <c r="G95" s="282"/>
      <c r="H95" s="282"/>
      <c r="I95" s="283">
        <v>3400</v>
      </c>
      <c r="J95" s="282"/>
      <c r="K95" s="282"/>
      <c r="L95" s="282"/>
      <c r="M95" s="282"/>
      <c r="N95" s="282"/>
      <c r="O95" s="282"/>
      <c r="P95" s="282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90"/>
      <c r="AH95" s="290"/>
      <c r="AI95" s="290"/>
      <c r="AJ95" s="290"/>
      <c r="AK95" s="290"/>
      <c r="AL95" s="290"/>
      <c r="AM95" s="290"/>
      <c r="AN95" s="290"/>
      <c r="AO95" s="290"/>
      <c r="AP95" s="290"/>
      <c r="AQ95" s="290"/>
      <c r="AR95" s="290"/>
    </row>
    <row r="96" spans="1:44" s="210" customFormat="1" ht="12.75">
      <c r="A96" s="282" t="s">
        <v>109</v>
      </c>
      <c r="B96" s="282"/>
      <c r="C96" s="283">
        <v>4200</v>
      </c>
      <c r="D96" s="282"/>
      <c r="E96" s="282" t="s">
        <v>122</v>
      </c>
      <c r="F96" s="282"/>
      <c r="G96" s="282"/>
      <c r="H96" s="282"/>
      <c r="I96" s="283">
        <v>2100</v>
      </c>
      <c r="J96" s="282"/>
      <c r="K96" s="282"/>
      <c r="L96" s="282"/>
      <c r="M96" s="282"/>
      <c r="N96" s="282"/>
      <c r="O96" s="282"/>
      <c r="P96" s="282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90"/>
      <c r="AH96" s="290"/>
      <c r="AI96" s="290"/>
      <c r="AJ96" s="290"/>
      <c r="AK96" s="290"/>
      <c r="AL96" s="290"/>
      <c r="AM96" s="290"/>
      <c r="AN96" s="290"/>
      <c r="AO96" s="290"/>
      <c r="AP96" s="290"/>
      <c r="AQ96" s="290"/>
      <c r="AR96" s="290"/>
    </row>
    <row r="97" spans="1:44" s="210" customFormat="1" ht="12.75">
      <c r="A97" s="282" t="s">
        <v>110</v>
      </c>
      <c r="B97" s="282"/>
      <c r="C97" s="283">
        <v>8000</v>
      </c>
      <c r="D97" s="282"/>
      <c r="E97" s="282" t="s">
        <v>138</v>
      </c>
      <c r="F97" s="282"/>
      <c r="G97" s="282"/>
      <c r="H97" s="282"/>
      <c r="I97" s="283">
        <v>1500</v>
      </c>
      <c r="J97" s="282"/>
      <c r="K97" s="282"/>
      <c r="L97" s="282"/>
      <c r="M97" s="282"/>
      <c r="N97" s="282"/>
      <c r="O97" s="282"/>
      <c r="P97" s="282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90"/>
      <c r="AH97" s="290"/>
      <c r="AI97" s="290"/>
      <c r="AJ97" s="290"/>
      <c r="AK97" s="290"/>
      <c r="AL97" s="290"/>
      <c r="AM97" s="290"/>
      <c r="AN97" s="290"/>
      <c r="AO97" s="290"/>
      <c r="AP97" s="290"/>
      <c r="AQ97" s="290"/>
      <c r="AR97" s="290"/>
    </row>
    <row r="98" spans="1:44" s="210" customFormat="1" ht="12.75">
      <c r="A98" s="271" t="s">
        <v>111</v>
      </c>
      <c r="B98" s="290"/>
      <c r="C98" s="291">
        <f>SUM(C94:C97)</f>
        <v>17500</v>
      </c>
      <c r="D98" s="282"/>
      <c r="E98" s="282" t="s">
        <v>140</v>
      </c>
      <c r="F98" s="282"/>
      <c r="G98" s="282"/>
      <c r="H98" s="282"/>
      <c r="I98" s="283">
        <v>4580</v>
      </c>
      <c r="J98" s="282"/>
      <c r="K98" s="282"/>
      <c r="L98" s="282"/>
      <c r="M98" s="282"/>
      <c r="N98" s="282"/>
      <c r="O98" s="282"/>
      <c r="P98" s="282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F98" s="290"/>
      <c r="AG98" s="290"/>
      <c r="AH98" s="290"/>
      <c r="AI98" s="290"/>
      <c r="AJ98" s="290"/>
      <c r="AK98" s="290"/>
      <c r="AL98" s="290"/>
      <c r="AM98" s="290"/>
      <c r="AN98" s="290"/>
      <c r="AO98" s="290"/>
      <c r="AP98" s="290"/>
      <c r="AQ98" s="290"/>
      <c r="AR98" s="290"/>
    </row>
    <row r="99" spans="1:44" s="210" customFormat="1" ht="12.75">
      <c r="A99" s="282"/>
      <c r="B99" s="282"/>
      <c r="C99" s="282"/>
      <c r="D99" s="282"/>
      <c r="E99" s="271" t="s">
        <v>124</v>
      </c>
      <c r="F99" s="290"/>
      <c r="G99" s="290"/>
      <c r="H99" s="290"/>
      <c r="I99" s="291">
        <f>SUM(I93:I98)</f>
        <v>13880</v>
      </c>
      <c r="J99" s="282"/>
      <c r="K99" s="282"/>
      <c r="L99" s="282"/>
      <c r="M99" s="282"/>
      <c r="N99" s="282"/>
      <c r="O99" s="282"/>
      <c r="P99" s="282"/>
      <c r="Q99" s="290"/>
      <c r="R99" s="290"/>
      <c r="S99" s="290"/>
      <c r="T99" s="290"/>
      <c r="U99" s="290"/>
      <c r="V99" s="290"/>
      <c r="W99" s="290"/>
      <c r="X99" s="290"/>
      <c r="Y99" s="290"/>
      <c r="Z99" s="290"/>
      <c r="AA99" s="290"/>
      <c r="AB99" s="290"/>
      <c r="AC99" s="290"/>
      <c r="AD99" s="290"/>
      <c r="AE99" s="290"/>
      <c r="AF99" s="290"/>
      <c r="AG99" s="290"/>
      <c r="AH99" s="290"/>
      <c r="AI99" s="290"/>
      <c r="AJ99" s="290"/>
      <c r="AK99" s="290"/>
      <c r="AL99" s="290"/>
      <c r="AM99" s="290"/>
      <c r="AN99" s="290"/>
      <c r="AO99" s="290"/>
      <c r="AP99" s="290"/>
      <c r="AQ99" s="290"/>
      <c r="AR99" s="290"/>
    </row>
    <row r="100" spans="1:44" s="210" customFormat="1" ht="12.75">
      <c r="A100" s="271" t="s">
        <v>113</v>
      </c>
      <c r="B100" s="290"/>
      <c r="C100" s="293">
        <v>114500</v>
      </c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290"/>
      <c r="AM100" s="290"/>
      <c r="AN100" s="290"/>
      <c r="AO100" s="290"/>
      <c r="AP100" s="290"/>
      <c r="AQ100" s="290"/>
      <c r="AR100" s="290"/>
    </row>
    <row r="101" spans="1:44" s="210" customFormat="1" ht="12.75">
      <c r="A101" s="282"/>
      <c r="B101" s="282"/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7"/>
      <c r="O101" s="282"/>
      <c r="P101" s="282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0"/>
      <c r="AD101" s="290"/>
      <c r="AE101" s="290"/>
      <c r="AF101" s="290"/>
      <c r="AG101" s="290"/>
      <c r="AH101" s="290"/>
      <c r="AI101" s="290"/>
      <c r="AJ101" s="290"/>
      <c r="AK101" s="290"/>
      <c r="AL101" s="290"/>
      <c r="AM101" s="290"/>
      <c r="AN101" s="290"/>
      <c r="AO101" s="290"/>
      <c r="AP101" s="290"/>
      <c r="AQ101" s="290"/>
      <c r="AR101" s="290"/>
    </row>
    <row r="102" spans="1:44" s="210" customFormat="1" ht="12.75">
      <c r="A102" s="282"/>
      <c r="B102" s="282"/>
      <c r="C102" s="282"/>
      <c r="D102" s="282"/>
      <c r="E102" s="282"/>
      <c r="F102" s="282"/>
      <c r="G102" s="282"/>
      <c r="H102" s="282"/>
      <c r="I102" s="282"/>
      <c r="J102" s="281"/>
      <c r="K102" s="282"/>
      <c r="L102" s="282"/>
      <c r="M102" s="282"/>
      <c r="N102" s="286"/>
      <c r="O102" s="282"/>
      <c r="P102" s="282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  <c r="AA102" s="290"/>
      <c r="AB102" s="290"/>
      <c r="AC102" s="290"/>
      <c r="AD102" s="290"/>
      <c r="AE102" s="290"/>
      <c r="AF102" s="290"/>
      <c r="AG102" s="290"/>
      <c r="AH102" s="290"/>
      <c r="AI102" s="290"/>
      <c r="AJ102" s="290"/>
      <c r="AK102" s="290"/>
      <c r="AL102" s="290"/>
      <c r="AM102" s="290"/>
      <c r="AN102" s="290"/>
      <c r="AO102" s="290"/>
      <c r="AP102" s="290"/>
      <c r="AQ102" s="290"/>
      <c r="AR102" s="290"/>
    </row>
    <row r="103" spans="1:44" s="210" customFormat="1" ht="12.75">
      <c r="A103" s="282"/>
      <c r="B103" s="282"/>
      <c r="C103" s="282"/>
      <c r="D103" s="28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  <c r="AA103" s="290"/>
      <c r="AB103" s="290"/>
      <c r="AC103" s="290"/>
      <c r="AD103" s="290"/>
      <c r="AE103" s="290"/>
      <c r="AF103" s="290"/>
      <c r="AG103" s="290"/>
      <c r="AH103" s="290"/>
      <c r="AI103" s="290"/>
      <c r="AJ103" s="290"/>
      <c r="AK103" s="290"/>
      <c r="AL103" s="290"/>
      <c r="AM103" s="290"/>
      <c r="AN103" s="290"/>
      <c r="AO103" s="290"/>
      <c r="AP103" s="290"/>
      <c r="AQ103" s="290"/>
      <c r="AR103" s="290"/>
    </row>
    <row r="104" spans="17:44" ht="12.75"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  <c r="AA104" s="290"/>
      <c r="AB104" s="290"/>
      <c r="AC104" s="290"/>
      <c r="AD104" s="290"/>
      <c r="AE104" s="290"/>
      <c r="AF104" s="290"/>
      <c r="AG104" s="290"/>
      <c r="AH104" s="290"/>
      <c r="AI104" s="290"/>
      <c r="AJ104" s="290"/>
      <c r="AK104" s="290"/>
      <c r="AL104" s="290"/>
      <c r="AM104" s="290"/>
      <c r="AN104" s="290"/>
      <c r="AO104" s="290"/>
      <c r="AP104" s="290"/>
      <c r="AQ104" s="290"/>
      <c r="AR104" s="290"/>
    </row>
    <row r="105" spans="17:44" ht="12.75"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  <c r="AA105" s="290"/>
      <c r="AB105" s="290"/>
      <c r="AC105" s="290"/>
      <c r="AD105" s="290"/>
      <c r="AE105" s="290"/>
      <c r="AF105" s="290"/>
      <c r="AG105" s="290"/>
      <c r="AH105" s="290"/>
      <c r="AI105" s="290"/>
      <c r="AJ105" s="290"/>
      <c r="AK105" s="290"/>
      <c r="AL105" s="290"/>
      <c r="AM105" s="290"/>
      <c r="AN105" s="290"/>
      <c r="AO105" s="290"/>
      <c r="AP105" s="290"/>
      <c r="AQ105" s="290"/>
      <c r="AR105" s="290"/>
    </row>
    <row r="106" spans="17:44" ht="12.75"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  <c r="AA106" s="290"/>
      <c r="AB106" s="290"/>
      <c r="AC106" s="290"/>
      <c r="AD106" s="290"/>
      <c r="AE106" s="290"/>
      <c r="AF106" s="290"/>
      <c r="AG106" s="290"/>
      <c r="AH106" s="290"/>
      <c r="AI106" s="290"/>
      <c r="AJ106" s="290"/>
      <c r="AK106" s="290"/>
      <c r="AL106" s="290"/>
      <c r="AM106" s="290"/>
      <c r="AN106" s="290"/>
      <c r="AO106" s="290"/>
      <c r="AP106" s="290"/>
      <c r="AQ106" s="290"/>
      <c r="AR106" s="290"/>
    </row>
    <row r="107" spans="17:44" ht="12.75"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  <c r="AA107" s="290"/>
      <c r="AB107" s="290"/>
      <c r="AC107" s="290"/>
      <c r="AD107" s="290"/>
      <c r="AE107" s="290"/>
      <c r="AF107" s="290"/>
      <c r="AG107" s="290"/>
      <c r="AH107" s="290"/>
      <c r="AI107" s="290"/>
      <c r="AJ107" s="290"/>
      <c r="AK107" s="290"/>
      <c r="AL107" s="290"/>
      <c r="AM107" s="290"/>
      <c r="AN107" s="290"/>
      <c r="AO107" s="290"/>
      <c r="AP107" s="290"/>
      <c r="AQ107" s="290"/>
      <c r="AR107" s="290"/>
    </row>
    <row r="108" spans="17:44" ht="12.75"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  <c r="AA108" s="290"/>
      <c r="AB108" s="290"/>
      <c r="AC108" s="290"/>
      <c r="AD108" s="290"/>
      <c r="AE108" s="290"/>
      <c r="AF108" s="290"/>
      <c r="AG108" s="290"/>
      <c r="AH108" s="290"/>
      <c r="AI108" s="290"/>
      <c r="AJ108" s="290"/>
      <c r="AK108" s="290"/>
      <c r="AL108" s="290"/>
      <c r="AM108" s="290"/>
      <c r="AN108" s="290"/>
      <c r="AO108" s="290"/>
      <c r="AP108" s="290"/>
      <c r="AQ108" s="290"/>
      <c r="AR108" s="290"/>
    </row>
    <row r="109" spans="17:44" ht="12.75"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0"/>
      <c r="AC109" s="290"/>
      <c r="AD109" s="290"/>
      <c r="AE109" s="290"/>
      <c r="AF109" s="290"/>
      <c r="AG109" s="290"/>
      <c r="AH109" s="290"/>
      <c r="AI109" s="290"/>
      <c r="AJ109" s="290"/>
      <c r="AK109" s="290"/>
      <c r="AL109" s="290"/>
      <c r="AM109" s="290"/>
      <c r="AN109" s="290"/>
      <c r="AO109" s="290"/>
      <c r="AP109" s="290"/>
      <c r="AQ109" s="290"/>
      <c r="AR109" s="290"/>
    </row>
    <row r="110" spans="17:44" ht="12.75"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  <c r="AA110" s="290"/>
      <c r="AB110" s="290"/>
      <c r="AC110" s="290"/>
      <c r="AD110" s="290"/>
      <c r="AE110" s="290"/>
      <c r="AF110" s="290"/>
      <c r="AG110" s="290"/>
      <c r="AH110" s="290"/>
      <c r="AI110" s="290"/>
      <c r="AJ110" s="290"/>
      <c r="AK110" s="290"/>
      <c r="AL110" s="290"/>
      <c r="AM110" s="290"/>
      <c r="AN110" s="290"/>
      <c r="AO110" s="290"/>
      <c r="AP110" s="290"/>
      <c r="AQ110" s="290"/>
      <c r="AR110" s="290"/>
    </row>
    <row r="111" spans="9:44" ht="12.75">
      <c r="I111" s="4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290"/>
      <c r="AD111" s="290"/>
      <c r="AE111" s="290"/>
      <c r="AF111" s="290"/>
      <c r="AG111" s="290"/>
      <c r="AH111" s="290"/>
      <c r="AI111" s="290"/>
      <c r="AJ111" s="290"/>
      <c r="AK111" s="290"/>
      <c r="AL111" s="290"/>
      <c r="AM111" s="290"/>
      <c r="AN111" s="290"/>
      <c r="AO111" s="290"/>
      <c r="AP111" s="290"/>
      <c r="AQ111" s="290"/>
      <c r="AR111" s="290"/>
    </row>
    <row r="112" spans="9:44" ht="12.75">
      <c r="I112" s="4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290"/>
      <c r="AD112" s="290"/>
      <c r="AE112" s="290"/>
      <c r="AF112" s="290"/>
      <c r="AG112" s="290"/>
      <c r="AH112" s="290"/>
      <c r="AI112" s="290"/>
      <c r="AJ112" s="290"/>
      <c r="AK112" s="290"/>
      <c r="AL112" s="290"/>
      <c r="AM112" s="290"/>
      <c r="AN112" s="290"/>
      <c r="AO112" s="290"/>
      <c r="AP112" s="290"/>
      <c r="AQ112" s="290"/>
      <c r="AR112" s="290"/>
    </row>
    <row r="113" spans="9:44" ht="12.75">
      <c r="I113" s="4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  <c r="AA113" s="290"/>
      <c r="AB113" s="290"/>
      <c r="AC113" s="290"/>
      <c r="AD113" s="290"/>
      <c r="AE113" s="290"/>
      <c r="AF113" s="290"/>
      <c r="AG113" s="290"/>
      <c r="AH113" s="290"/>
      <c r="AI113" s="290"/>
      <c r="AJ113" s="290"/>
      <c r="AK113" s="290"/>
      <c r="AL113" s="290"/>
      <c r="AM113" s="290"/>
      <c r="AN113" s="290"/>
      <c r="AO113" s="290"/>
      <c r="AP113" s="290"/>
      <c r="AQ113" s="290"/>
      <c r="AR113" s="290"/>
    </row>
    <row r="114" spans="9:44" ht="12.75">
      <c r="I114" s="4"/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  <c r="AA114" s="290"/>
      <c r="AB114" s="290"/>
      <c r="AC114" s="290"/>
      <c r="AD114" s="290"/>
      <c r="AE114" s="290"/>
      <c r="AF114" s="290"/>
      <c r="AG114" s="290"/>
      <c r="AH114" s="290"/>
      <c r="AI114" s="290"/>
      <c r="AJ114" s="290"/>
      <c r="AK114" s="290"/>
      <c r="AL114" s="290"/>
      <c r="AM114" s="290"/>
      <c r="AN114" s="290"/>
      <c r="AO114" s="290"/>
      <c r="AP114" s="290"/>
      <c r="AQ114" s="290"/>
      <c r="AR114" s="290"/>
    </row>
    <row r="115" spans="9:44" ht="12.75">
      <c r="I115" s="4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0"/>
      <c r="AG115" s="290"/>
      <c r="AH115" s="290"/>
      <c r="AI115" s="290"/>
      <c r="AJ115" s="290"/>
      <c r="AK115" s="290"/>
      <c r="AL115" s="290"/>
      <c r="AM115" s="290"/>
      <c r="AN115" s="290"/>
      <c r="AO115" s="290"/>
      <c r="AP115" s="290"/>
      <c r="AQ115" s="290"/>
      <c r="AR115" s="290"/>
    </row>
    <row r="116" spans="17:44" ht="12.75"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  <c r="AA116" s="290"/>
      <c r="AB116" s="290"/>
      <c r="AC116" s="290"/>
      <c r="AD116" s="290"/>
      <c r="AE116" s="290"/>
      <c r="AF116" s="290"/>
      <c r="AG116" s="290"/>
      <c r="AH116" s="290"/>
      <c r="AI116" s="290"/>
      <c r="AJ116" s="290"/>
      <c r="AK116" s="290"/>
      <c r="AL116" s="290"/>
      <c r="AM116" s="290"/>
      <c r="AN116" s="290"/>
      <c r="AO116" s="290"/>
      <c r="AP116" s="290"/>
      <c r="AQ116" s="290"/>
      <c r="AR116" s="290"/>
    </row>
  </sheetData>
  <sheetProtection/>
  <mergeCells count="3">
    <mergeCell ref="B4:P4"/>
    <mergeCell ref="O1:P1"/>
    <mergeCell ref="B1:N1"/>
  </mergeCells>
  <printOptions horizontalCentered="1"/>
  <pageMargins left="0.1968503937007874" right="0.1968503937007874" top="0.7874015748031497" bottom="0.1968503937007874" header="0.5118110236220472" footer="0.5118110236220472"/>
  <pageSetup orientation="landscape" scale="69" r:id="rId1"/>
  <headerFooter alignWithMargins="0">
    <oddHeader xml:space="preserve">&amp;C&amp;"Times New Roman,Bold"&amp;11Acme Wilderness Adventures
Income Expense Statement&amp;R&amp;"Times New Roman,Bold"&amp;11Diversification Model </oddHeader>
  </headerFooter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116"/>
  <sheetViews>
    <sheetView zoomScalePageLayoutView="0" workbookViewId="0" topLeftCell="A1">
      <selection activeCell="G79" sqref="G79"/>
    </sheetView>
  </sheetViews>
  <sheetFormatPr defaultColWidth="9.33203125" defaultRowHeight="12.75"/>
  <cols>
    <col min="1" max="1" width="34.83203125" style="0" customWidth="1"/>
    <col min="2" max="16" width="10.33203125" style="0" customWidth="1"/>
  </cols>
  <sheetData>
    <row r="1" spans="2:37" ht="12.75">
      <c r="B1" s="316" t="s">
        <v>169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8" t="s">
        <v>163</v>
      </c>
      <c r="P1" s="318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</row>
    <row r="2" spans="2:37" ht="13.5" thickBot="1">
      <c r="B2" s="297">
        <v>0</v>
      </c>
      <c r="C2" s="297">
        <v>0</v>
      </c>
      <c r="D2" s="297">
        <v>0</v>
      </c>
      <c r="E2" s="297">
        <v>0</v>
      </c>
      <c r="F2" s="297">
        <v>0</v>
      </c>
      <c r="G2" s="297">
        <v>0</v>
      </c>
      <c r="H2" s="297">
        <v>0</v>
      </c>
      <c r="I2" s="297">
        <v>0</v>
      </c>
      <c r="J2" s="297">
        <v>0</v>
      </c>
      <c r="K2" s="297">
        <v>0</v>
      </c>
      <c r="L2" s="297">
        <v>0</v>
      </c>
      <c r="M2" s="297">
        <v>0</v>
      </c>
      <c r="N2" s="298">
        <f>SUM(B2:M2)</f>
        <v>0</v>
      </c>
      <c r="O2" s="279">
        <v>0</v>
      </c>
      <c r="P2" s="279">
        <v>0</v>
      </c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</row>
    <row r="3" spans="15:37" ht="12.75">
      <c r="O3" s="169"/>
      <c r="P3" s="169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</row>
    <row r="4" spans="1:37" ht="15.75">
      <c r="A4" s="48" t="s">
        <v>0</v>
      </c>
      <c r="B4" s="317" t="s">
        <v>77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</row>
    <row r="5" spans="1:37" ht="15.75">
      <c r="A5" s="48"/>
      <c r="B5" s="31" t="s">
        <v>48</v>
      </c>
      <c r="C5" s="31" t="s">
        <v>49</v>
      </c>
      <c r="D5" s="31" t="s">
        <v>50</v>
      </c>
      <c r="E5" s="31" t="s">
        <v>51</v>
      </c>
      <c r="F5" s="31" t="s">
        <v>52</v>
      </c>
      <c r="G5" s="31" t="s">
        <v>53</v>
      </c>
      <c r="H5" s="31" t="s">
        <v>54</v>
      </c>
      <c r="I5" s="31" t="s">
        <v>55</v>
      </c>
      <c r="J5" s="31" t="s">
        <v>56</v>
      </c>
      <c r="K5" s="31" t="s">
        <v>57</v>
      </c>
      <c r="L5" s="31" t="s">
        <v>58</v>
      </c>
      <c r="M5" s="31" t="s">
        <v>59</v>
      </c>
      <c r="N5" s="31" t="s">
        <v>154</v>
      </c>
      <c r="O5" s="78" t="s">
        <v>155</v>
      </c>
      <c r="P5" s="78" t="s">
        <v>156</v>
      </c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</row>
    <row r="6" spans="1:37" ht="12.75">
      <c r="A6" s="20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1"/>
      <c r="P6" s="21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</row>
    <row r="7" spans="1:37" s="127" customFormat="1" ht="12.75">
      <c r="A7" s="50" t="s">
        <v>219</v>
      </c>
      <c r="B7" s="99">
        <f aca="true" t="shared" si="0" ref="B7:M7">B$2*$N$7</f>
        <v>0</v>
      </c>
      <c r="C7" s="99">
        <f t="shared" si="0"/>
        <v>0</v>
      </c>
      <c r="D7" s="99">
        <f t="shared" si="0"/>
        <v>0</v>
      </c>
      <c r="E7" s="99">
        <f t="shared" si="0"/>
        <v>0</v>
      </c>
      <c r="F7" s="99">
        <f t="shared" si="0"/>
        <v>0</v>
      </c>
      <c r="G7" s="99">
        <f t="shared" si="0"/>
        <v>0</v>
      </c>
      <c r="H7" s="99">
        <f t="shared" si="0"/>
        <v>0</v>
      </c>
      <c r="I7" s="99">
        <f t="shared" si="0"/>
        <v>0</v>
      </c>
      <c r="J7" s="99">
        <f t="shared" si="0"/>
        <v>0</v>
      </c>
      <c r="K7" s="99">
        <f t="shared" si="0"/>
        <v>0</v>
      </c>
      <c r="L7" s="99">
        <f t="shared" si="0"/>
        <v>0</v>
      </c>
      <c r="M7" s="99">
        <f t="shared" si="0"/>
        <v>0</v>
      </c>
      <c r="N7" s="99">
        <f>C80</f>
        <v>0</v>
      </c>
      <c r="O7" s="123">
        <f>N7+(N7*$O$2)</f>
        <v>0</v>
      </c>
      <c r="P7" s="146">
        <f>O7+(O7*$P$2)</f>
        <v>0</v>
      </c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</row>
    <row r="8" spans="1:37" s="127" customFormat="1" ht="12.75">
      <c r="A8" s="50" t="s">
        <v>220</v>
      </c>
      <c r="B8" s="99">
        <f aca="true" t="shared" si="1" ref="B8:M8">B$2*$N$8</f>
        <v>0</v>
      </c>
      <c r="C8" s="99">
        <f t="shared" si="1"/>
        <v>0</v>
      </c>
      <c r="D8" s="99">
        <f t="shared" si="1"/>
        <v>0</v>
      </c>
      <c r="E8" s="99">
        <f t="shared" si="1"/>
        <v>0</v>
      </c>
      <c r="F8" s="99">
        <f t="shared" si="1"/>
        <v>0</v>
      </c>
      <c r="G8" s="99">
        <f t="shared" si="1"/>
        <v>0</v>
      </c>
      <c r="H8" s="99">
        <f t="shared" si="1"/>
        <v>0</v>
      </c>
      <c r="I8" s="99">
        <f t="shared" si="1"/>
        <v>0</v>
      </c>
      <c r="J8" s="99">
        <f t="shared" si="1"/>
        <v>0</v>
      </c>
      <c r="K8" s="99">
        <f t="shared" si="1"/>
        <v>0</v>
      </c>
      <c r="L8" s="99">
        <f t="shared" si="1"/>
        <v>0</v>
      </c>
      <c r="M8" s="99">
        <f t="shared" si="1"/>
        <v>0</v>
      </c>
      <c r="N8" s="99">
        <f>C85</f>
        <v>0</v>
      </c>
      <c r="O8" s="123">
        <f>N8+(N8*$O$2)</f>
        <v>0</v>
      </c>
      <c r="P8" s="146">
        <f>O8+(O8*$P$2)</f>
        <v>0</v>
      </c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</row>
    <row r="9" spans="1:37" s="127" customFormat="1" ht="12.75">
      <c r="A9" s="50" t="s">
        <v>64</v>
      </c>
      <c r="B9" s="99">
        <f aca="true" t="shared" si="2" ref="B9:M9">B$2*$N$9</f>
        <v>0</v>
      </c>
      <c r="C9" s="99">
        <f t="shared" si="2"/>
        <v>0</v>
      </c>
      <c r="D9" s="99">
        <f t="shared" si="2"/>
        <v>0</v>
      </c>
      <c r="E9" s="99">
        <f t="shared" si="2"/>
        <v>0</v>
      </c>
      <c r="F9" s="99">
        <f t="shared" si="2"/>
        <v>0</v>
      </c>
      <c r="G9" s="99">
        <f t="shared" si="2"/>
        <v>0</v>
      </c>
      <c r="H9" s="99">
        <f t="shared" si="2"/>
        <v>0</v>
      </c>
      <c r="I9" s="99">
        <f t="shared" si="2"/>
        <v>0</v>
      </c>
      <c r="J9" s="99">
        <f t="shared" si="2"/>
        <v>0</v>
      </c>
      <c r="K9" s="99">
        <f t="shared" si="2"/>
        <v>0</v>
      </c>
      <c r="L9" s="99">
        <f t="shared" si="2"/>
        <v>0</v>
      </c>
      <c r="M9" s="99">
        <f t="shared" si="2"/>
        <v>0</v>
      </c>
      <c r="N9" s="99">
        <f>C91</f>
        <v>0</v>
      </c>
      <c r="O9" s="123">
        <f>N9+(N9*$O$2)</f>
        <v>0</v>
      </c>
      <c r="P9" s="146">
        <f>O9+(O9*$P$2)</f>
        <v>0</v>
      </c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</row>
    <row r="10" spans="1:37" ht="12.75">
      <c r="A10" s="24" t="s">
        <v>61</v>
      </c>
      <c r="B10" s="93">
        <f aca="true" t="shared" si="3" ref="B10:M10">B$2*$N$10</f>
        <v>0</v>
      </c>
      <c r="C10" s="93">
        <f t="shared" si="3"/>
        <v>0</v>
      </c>
      <c r="D10" s="93">
        <f t="shared" si="3"/>
        <v>0</v>
      </c>
      <c r="E10" s="93">
        <f t="shared" si="3"/>
        <v>0</v>
      </c>
      <c r="F10" s="93">
        <f t="shared" si="3"/>
        <v>0</v>
      </c>
      <c r="G10" s="93">
        <f t="shared" si="3"/>
        <v>0</v>
      </c>
      <c r="H10" s="93">
        <f t="shared" si="3"/>
        <v>0</v>
      </c>
      <c r="I10" s="93">
        <f t="shared" si="3"/>
        <v>0</v>
      </c>
      <c r="J10" s="93">
        <f t="shared" si="3"/>
        <v>0</v>
      </c>
      <c r="K10" s="93">
        <f t="shared" si="3"/>
        <v>0</v>
      </c>
      <c r="L10" s="93">
        <f t="shared" si="3"/>
        <v>0</v>
      </c>
      <c r="M10" s="93">
        <f t="shared" si="3"/>
        <v>0</v>
      </c>
      <c r="N10" s="93">
        <f>C98</f>
        <v>0</v>
      </c>
      <c r="O10" s="94">
        <f>N10+(N10*$O$2)</f>
        <v>0</v>
      </c>
      <c r="P10" s="133">
        <f>O10+(O10*$P$2)</f>
        <v>0</v>
      </c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</row>
    <row r="11" spans="1:16" s="110" customFormat="1" ht="12.75">
      <c r="A11" s="81" t="s">
        <v>2</v>
      </c>
      <c r="B11" s="95">
        <f aca="true" t="shared" si="4" ref="B11:M11">B$2*$N$11</f>
        <v>0</v>
      </c>
      <c r="C11" s="95">
        <f t="shared" si="4"/>
        <v>0</v>
      </c>
      <c r="D11" s="95">
        <f t="shared" si="4"/>
        <v>0</v>
      </c>
      <c r="E11" s="95">
        <f t="shared" si="4"/>
        <v>0</v>
      </c>
      <c r="F11" s="95">
        <f t="shared" si="4"/>
        <v>0</v>
      </c>
      <c r="G11" s="95">
        <f t="shared" si="4"/>
        <v>0</v>
      </c>
      <c r="H11" s="95">
        <f t="shared" si="4"/>
        <v>0</v>
      </c>
      <c r="I11" s="95">
        <f t="shared" si="4"/>
        <v>0</v>
      </c>
      <c r="J11" s="95">
        <f t="shared" si="4"/>
        <v>0</v>
      </c>
      <c r="K11" s="95">
        <f t="shared" si="4"/>
        <v>0</v>
      </c>
      <c r="L11" s="95">
        <f t="shared" si="4"/>
        <v>0</v>
      </c>
      <c r="M11" s="95">
        <f t="shared" si="4"/>
        <v>0</v>
      </c>
      <c r="N11" s="270">
        <v>0</v>
      </c>
      <c r="O11" s="94">
        <f>N11+(N11*$O$2)</f>
        <v>0</v>
      </c>
      <c r="P11" s="133">
        <f>O11+(O11*$P$2)</f>
        <v>0</v>
      </c>
    </row>
    <row r="12" spans="1:37" s="113" customFormat="1" ht="12.75">
      <c r="A12" s="111" t="s">
        <v>3</v>
      </c>
      <c r="B12" s="100">
        <f aca="true" t="shared" si="5" ref="B12:P12">SUM(B7:B11)</f>
        <v>0</v>
      </c>
      <c r="C12" s="100">
        <f t="shared" si="5"/>
        <v>0</v>
      </c>
      <c r="D12" s="100">
        <f t="shared" si="5"/>
        <v>0</v>
      </c>
      <c r="E12" s="100">
        <f t="shared" si="5"/>
        <v>0</v>
      </c>
      <c r="F12" s="100">
        <f t="shared" si="5"/>
        <v>0</v>
      </c>
      <c r="G12" s="100">
        <f t="shared" si="5"/>
        <v>0</v>
      </c>
      <c r="H12" s="100">
        <f t="shared" si="5"/>
        <v>0</v>
      </c>
      <c r="I12" s="100">
        <f t="shared" si="5"/>
        <v>0</v>
      </c>
      <c r="J12" s="100">
        <f t="shared" si="5"/>
        <v>0</v>
      </c>
      <c r="K12" s="100">
        <f t="shared" si="5"/>
        <v>0</v>
      </c>
      <c r="L12" s="100">
        <f t="shared" si="5"/>
        <v>0</v>
      </c>
      <c r="M12" s="100">
        <f t="shared" si="5"/>
        <v>0</v>
      </c>
      <c r="N12" s="100">
        <f t="shared" si="5"/>
        <v>0</v>
      </c>
      <c r="O12" s="105">
        <f t="shared" si="5"/>
        <v>0</v>
      </c>
      <c r="P12" s="105">
        <f t="shared" si="5"/>
        <v>0</v>
      </c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7" ht="12.75">
      <c r="A13" s="26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1"/>
      <c r="P13" s="21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7" ht="12.75">
      <c r="A14" s="26" t="s">
        <v>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"/>
      <c r="P14" s="21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7" ht="12.75">
      <c r="A15" s="24" t="s">
        <v>221</v>
      </c>
      <c r="B15" s="99">
        <f aca="true" t="shared" si="6" ref="B15:M20">B$2*$N15</f>
        <v>0</v>
      </c>
      <c r="C15" s="99">
        <f t="shared" si="6"/>
        <v>0</v>
      </c>
      <c r="D15" s="99">
        <f t="shared" si="6"/>
        <v>0</v>
      </c>
      <c r="E15" s="99">
        <f t="shared" si="6"/>
        <v>0</v>
      </c>
      <c r="F15" s="99">
        <f t="shared" si="6"/>
        <v>0</v>
      </c>
      <c r="G15" s="99">
        <f t="shared" si="6"/>
        <v>0</v>
      </c>
      <c r="H15" s="99">
        <f t="shared" si="6"/>
        <v>0</v>
      </c>
      <c r="I15" s="99">
        <f t="shared" si="6"/>
        <v>0</v>
      </c>
      <c r="J15" s="99">
        <f t="shared" si="6"/>
        <v>0</v>
      </c>
      <c r="K15" s="99">
        <f t="shared" si="6"/>
        <v>0</v>
      </c>
      <c r="L15" s="99">
        <f t="shared" si="6"/>
        <v>0</v>
      </c>
      <c r="M15" s="99">
        <f t="shared" si="6"/>
        <v>0</v>
      </c>
      <c r="N15" s="99">
        <f>I72</f>
        <v>0</v>
      </c>
      <c r="O15" s="94">
        <f aca="true" t="shared" si="7" ref="O15:P20">N15+(N15*$O$2)</f>
        <v>0</v>
      </c>
      <c r="P15" s="94">
        <f t="shared" si="7"/>
        <v>0</v>
      </c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7" ht="12.75">
      <c r="A16" s="24" t="s">
        <v>75</v>
      </c>
      <c r="B16" s="99">
        <f t="shared" si="6"/>
        <v>0</v>
      </c>
      <c r="C16" s="99">
        <f t="shared" si="6"/>
        <v>0</v>
      </c>
      <c r="D16" s="99">
        <f t="shared" si="6"/>
        <v>0</v>
      </c>
      <c r="E16" s="99">
        <f t="shared" si="6"/>
        <v>0</v>
      </c>
      <c r="F16" s="99">
        <f t="shared" si="6"/>
        <v>0</v>
      </c>
      <c r="G16" s="99">
        <f t="shared" si="6"/>
        <v>0</v>
      </c>
      <c r="H16" s="99">
        <f t="shared" si="6"/>
        <v>0</v>
      </c>
      <c r="I16" s="99">
        <f t="shared" si="6"/>
        <v>0</v>
      </c>
      <c r="J16" s="99">
        <f t="shared" si="6"/>
        <v>0</v>
      </c>
      <c r="K16" s="99">
        <f t="shared" si="6"/>
        <v>0</v>
      </c>
      <c r="L16" s="99">
        <f t="shared" si="6"/>
        <v>0</v>
      </c>
      <c r="M16" s="99">
        <f t="shared" si="6"/>
        <v>0</v>
      </c>
      <c r="N16" s="99">
        <f>I74</f>
        <v>0</v>
      </c>
      <c r="O16" s="94">
        <f t="shared" si="7"/>
        <v>0</v>
      </c>
      <c r="P16" s="94">
        <f t="shared" si="7"/>
        <v>0</v>
      </c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7" ht="12.75">
      <c r="A17" s="24" t="s">
        <v>168</v>
      </c>
      <c r="B17" s="99">
        <f t="shared" si="6"/>
        <v>0</v>
      </c>
      <c r="C17" s="99">
        <f t="shared" si="6"/>
        <v>0</v>
      </c>
      <c r="D17" s="99">
        <f t="shared" si="6"/>
        <v>0</v>
      </c>
      <c r="E17" s="99">
        <f t="shared" si="6"/>
        <v>0</v>
      </c>
      <c r="F17" s="99">
        <f t="shared" si="6"/>
        <v>0</v>
      </c>
      <c r="G17" s="99">
        <f t="shared" si="6"/>
        <v>0</v>
      </c>
      <c r="H17" s="99">
        <f t="shared" si="6"/>
        <v>0</v>
      </c>
      <c r="I17" s="99">
        <f t="shared" si="6"/>
        <v>0</v>
      </c>
      <c r="J17" s="99">
        <f t="shared" si="6"/>
        <v>0</v>
      </c>
      <c r="K17" s="99">
        <f t="shared" si="6"/>
        <v>0</v>
      </c>
      <c r="L17" s="99">
        <f t="shared" si="6"/>
        <v>0</v>
      </c>
      <c r="M17" s="99">
        <f t="shared" si="6"/>
        <v>0</v>
      </c>
      <c r="N17" s="99">
        <f>I78</f>
        <v>0</v>
      </c>
      <c r="O17" s="94">
        <f t="shared" si="7"/>
        <v>0</v>
      </c>
      <c r="P17" s="94">
        <f t="shared" si="7"/>
        <v>0</v>
      </c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</row>
    <row r="18" spans="1:37" ht="12.75">
      <c r="A18" s="35" t="s">
        <v>222</v>
      </c>
      <c r="B18" s="99">
        <f t="shared" si="6"/>
        <v>0</v>
      </c>
      <c r="C18" s="99">
        <f t="shared" si="6"/>
        <v>0</v>
      </c>
      <c r="D18" s="99">
        <f t="shared" si="6"/>
        <v>0</v>
      </c>
      <c r="E18" s="99">
        <f t="shared" si="6"/>
        <v>0</v>
      </c>
      <c r="F18" s="99">
        <f t="shared" si="6"/>
        <v>0</v>
      </c>
      <c r="G18" s="99">
        <f t="shared" si="6"/>
        <v>0</v>
      </c>
      <c r="H18" s="99">
        <f t="shared" si="6"/>
        <v>0</v>
      </c>
      <c r="I18" s="99">
        <f t="shared" si="6"/>
        <v>0</v>
      </c>
      <c r="J18" s="99">
        <f t="shared" si="6"/>
        <v>0</v>
      </c>
      <c r="K18" s="99">
        <f t="shared" si="6"/>
        <v>0</v>
      </c>
      <c r="L18" s="99">
        <f t="shared" si="6"/>
        <v>0</v>
      </c>
      <c r="M18" s="99">
        <f t="shared" si="6"/>
        <v>0</v>
      </c>
      <c r="N18" s="99">
        <f>I78</f>
        <v>0</v>
      </c>
      <c r="O18" s="94">
        <f t="shared" si="7"/>
        <v>0</v>
      </c>
      <c r="P18" s="94">
        <f t="shared" si="7"/>
        <v>0</v>
      </c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</row>
    <row r="19" spans="1:37" ht="12.75">
      <c r="A19" s="24" t="s">
        <v>217</v>
      </c>
      <c r="B19" s="99">
        <f t="shared" si="6"/>
        <v>0</v>
      </c>
      <c r="C19" s="99">
        <f t="shared" si="6"/>
        <v>0</v>
      </c>
      <c r="D19" s="99">
        <f t="shared" si="6"/>
        <v>0</v>
      </c>
      <c r="E19" s="99">
        <f t="shared" si="6"/>
        <v>0</v>
      </c>
      <c r="F19" s="99">
        <f t="shared" si="6"/>
        <v>0</v>
      </c>
      <c r="G19" s="99">
        <f t="shared" si="6"/>
        <v>0</v>
      </c>
      <c r="H19" s="99">
        <f t="shared" si="6"/>
        <v>0</v>
      </c>
      <c r="I19" s="99">
        <f t="shared" si="6"/>
        <v>0</v>
      </c>
      <c r="J19" s="99">
        <f t="shared" si="6"/>
        <v>0</v>
      </c>
      <c r="K19" s="99">
        <f t="shared" si="6"/>
        <v>0</v>
      </c>
      <c r="L19" s="99">
        <f t="shared" si="6"/>
        <v>0</v>
      </c>
      <c r="M19" s="99">
        <f t="shared" si="6"/>
        <v>0</v>
      </c>
      <c r="N19" s="93">
        <f>I84</f>
        <v>0</v>
      </c>
      <c r="O19" s="94">
        <f t="shared" si="7"/>
        <v>0</v>
      </c>
      <c r="P19" s="94">
        <f t="shared" si="7"/>
        <v>0</v>
      </c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</row>
    <row r="20" spans="1:37" ht="12.75">
      <c r="A20" s="35" t="s">
        <v>5</v>
      </c>
      <c r="B20" s="99">
        <f t="shared" si="6"/>
        <v>0</v>
      </c>
      <c r="C20" s="99">
        <f t="shared" si="6"/>
        <v>0</v>
      </c>
      <c r="D20" s="99">
        <f t="shared" si="6"/>
        <v>0</v>
      </c>
      <c r="E20" s="99">
        <f t="shared" si="6"/>
        <v>0</v>
      </c>
      <c r="F20" s="99">
        <f t="shared" si="6"/>
        <v>0</v>
      </c>
      <c r="G20" s="99">
        <f t="shared" si="6"/>
        <v>0</v>
      </c>
      <c r="H20" s="99">
        <f t="shared" si="6"/>
        <v>0</v>
      </c>
      <c r="I20" s="99">
        <f t="shared" si="6"/>
        <v>0</v>
      </c>
      <c r="J20" s="99">
        <f t="shared" si="6"/>
        <v>0</v>
      </c>
      <c r="K20" s="99">
        <f t="shared" si="6"/>
        <v>0</v>
      </c>
      <c r="L20" s="99">
        <f t="shared" si="6"/>
        <v>0</v>
      </c>
      <c r="M20" s="99">
        <f t="shared" si="6"/>
        <v>0</v>
      </c>
      <c r="N20" s="95">
        <f>I90</f>
        <v>0</v>
      </c>
      <c r="O20" s="94">
        <f t="shared" si="7"/>
        <v>0</v>
      </c>
      <c r="P20" s="94">
        <f t="shared" si="7"/>
        <v>0</v>
      </c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</row>
    <row r="21" spans="1:37" s="113" customFormat="1" ht="12.75">
      <c r="A21" s="79" t="s">
        <v>6</v>
      </c>
      <c r="B21" s="100">
        <f>SUM(B15:B20)</f>
        <v>0</v>
      </c>
      <c r="C21" s="100">
        <f>SUM(C15:C20)</f>
        <v>0</v>
      </c>
      <c r="D21" s="100">
        <v>0</v>
      </c>
      <c r="E21" s="100">
        <f aca="true" t="shared" si="8" ref="E21:N21">SUM(E15:E20)</f>
        <v>0</v>
      </c>
      <c r="F21" s="100">
        <f t="shared" si="8"/>
        <v>0</v>
      </c>
      <c r="G21" s="100">
        <f t="shared" si="8"/>
        <v>0</v>
      </c>
      <c r="H21" s="100">
        <f t="shared" si="8"/>
        <v>0</v>
      </c>
      <c r="I21" s="100">
        <f t="shared" si="8"/>
        <v>0</v>
      </c>
      <c r="J21" s="100">
        <f t="shared" si="8"/>
        <v>0</v>
      </c>
      <c r="K21" s="100">
        <f t="shared" si="8"/>
        <v>0</v>
      </c>
      <c r="L21" s="100">
        <f t="shared" si="8"/>
        <v>0</v>
      </c>
      <c r="M21" s="100">
        <f t="shared" si="8"/>
        <v>0</v>
      </c>
      <c r="N21" s="100">
        <f t="shared" si="8"/>
        <v>0</v>
      </c>
      <c r="O21" s="105">
        <f>SUM(O15:O20)</f>
        <v>0</v>
      </c>
      <c r="P21" s="105">
        <f>SUM(P15:P20)</f>
        <v>0</v>
      </c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</row>
    <row r="22" spans="1:37" ht="12.75">
      <c r="A22" s="36" t="s">
        <v>7</v>
      </c>
      <c r="B22" s="165">
        <f aca="true" t="shared" si="9" ref="B22:P22">IF(B12=0,0,B21/B12)</f>
        <v>0</v>
      </c>
      <c r="C22" s="165">
        <f t="shared" si="9"/>
        <v>0</v>
      </c>
      <c r="D22" s="165">
        <f t="shared" si="9"/>
        <v>0</v>
      </c>
      <c r="E22" s="165">
        <f t="shared" si="9"/>
        <v>0</v>
      </c>
      <c r="F22" s="165">
        <f t="shared" si="9"/>
        <v>0</v>
      </c>
      <c r="G22" s="165">
        <f t="shared" si="9"/>
        <v>0</v>
      </c>
      <c r="H22" s="165">
        <f t="shared" si="9"/>
        <v>0</v>
      </c>
      <c r="I22" s="165">
        <f t="shared" si="9"/>
        <v>0</v>
      </c>
      <c r="J22" s="165">
        <f t="shared" si="9"/>
        <v>0</v>
      </c>
      <c r="K22" s="165">
        <f t="shared" si="9"/>
        <v>0</v>
      </c>
      <c r="L22" s="165">
        <f t="shared" si="9"/>
        <v>0</v>
      </c>
      <c r="M22" s="165">
        <f t="shared" si="9"/>
        <v>0</v>
      </c>
      <c r="N22" s="165">
        <f t="shared" si="9"/>
        <v>0</v>
      </c>
      <c r="O22" s="165">
        <f t="shared" si="9"/>
        <v>0</v>
      </c>
      <c r="P22" s="165">
        <f t="shared" si="9"/>
        <v>0</v>
      </c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</row>
    <row r="23" spans="1:37" ht="12.75">
      <c r="A23" s="36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1"/>
      <c r="P23" s="21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</row>
    <row r="24" spans="1:16" s="121" customFormat="1" ht="12.75">
      <c r="A24" s="117" t="s">
        <v>8</v>
      </c>
      <c r="B24" s="118">
        <f aca="true" t="shared" si="10" ref="B24:P24">B12-B21</f>
        <v>0</v>
      </c>
      <c r="C24" s="118">
        <f t="shared" si="10"/>
        <v>0</v>
      </c>
      <c r="D24" s="118">
        <f t="shared" si="10"/>
        <v>0</v>
      </c>
      <c r="E24" s="118">
        <f t="shared" si="10"/>
        <v>0</v>
      </c>
      <c r="F24" s="118">
        <f t="shared" si="10"/>
        <v>0</v>
      </c>
      <c r="G24" s="118">
        <f t="shared" si="10"/>
        <v>0</v>
      </c>
      <c r="H24" s="118">
        <f t="shared" si="10"/>
        <v>0</v>
      </c>
      <c r="I24" s="118">
        <f t="shared" si="10"/>
        <v>0</v>
      </c>
      <c r="J24" s="118">
        <f t="shared" si="10"/>
        <v>0</v>
      </c>
      <c r="K24" s="118">
        <f t="shared" si="10"/>
        <v>0</v>
      </c>
      <c r="L24" s="118">
        <f t="shared" si="10"/>
        <v>0</v>
      </c>
      <c r="M24" s="118">
        <f t="shared" si="10"/>
        <v>0</v>
      </c>
      <c r="N24" s="119">
        <f t="shared" si="10"/>
        <v>0</v>
      </c>
      <c r="O24" s="119">
        <f t="shared" si="10"/>
        <v>0</v>
      </c>
      <c r="P24" s="119">
        <f t="shared" si="10"/>
        <v>0</v>
      </c>
    </row>
    <row r="25" spans="1:37" ht="12.75">
      <c r="A25" s="24" t="s">
        <v>9</v>
      </c>
      <c r="B25" s="168">
        <f aca="true" t="shared" si="11" ref="B25:P25">IF(B12=0,0,B24/B12)</f>
        <v>0</v>
      </c>
      <c r="C25" s="168">
        <f t="shared" si="11"/>
        <v>0</v>
      </c>
      <c r="D25" s="168">
        <f t="shared" si="11"/>
        <v>0</v>
      </c>
      <c r="E25" s="168">
        <f t="shared" si="11"/>
        <v>0</v>
      </c>
      <c r="F25" s="168">
        <f t="shared" si="11"/>
        <v>0</v>
      </c>
      <c r="G25" s="168">
        <f t="shared" si="11"/>
        <v>0</v>
      </c>
      <c r="H25" s="168">
        <f t="shared" si="11"/>
        <v>0</v>
      </c>
      <c r="I25" s="168">
        <f t="shared" si="11"/>
        <v>0</v>
      </c>
      <c r="J25" s="168">
        <f t="shared" si="11"/>
        <v>0</v>
      </c>
      <c r="K25" s="168">
        <f t="shared" si="11"/>
        <v>0</v>
      </c>
      <c r="L25" s="168">
        <f t="shared" si="11"/>
        <v>0</v>
      </c>
      <c r="M25" s="168">
        <f t="shared" si="11"/>
        <v>0</v>
      </c>
      <c r="N25" s="168">
        <f t="shared" si="11"/>
        <v>0</v>
      </c>
      <c r="O25" s="168">
        <f t="shared" si="11"/>
        <v>0</v>
      </c>
      <c r="P25" s="168">
        <f t="shared" si="11"/>
        <v>0</v>
      </c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</row>
    <row r="26" spans="1:37" ht="12.75">
      <c r="A26" s="24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1"/>
      <c r="P26" s="21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</row>
    <row r="27" spans="1:37" ht="12.75">
      <c r="A27" s="26" t="s">
        <v>65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"/>
      <c r="P27" s="21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</row>
    <row r="28" spans="1:37" ht="12.75">
      <c r="A28" s="24" t="s">
        <v>66</v>
      </c>
      <c r="B28" s="99">
        <f aca="true" t="shared" si="12" ref="B28:M30">B$2*$N28</f>
        <v>0</v>
      </c>
      <c r="C28" s="99">
        <f t="shared" si="12"/>
        <v>0</v>
      </c>
      <c r="D28" s="99">
        <f t="shared" si="12"/>
        <v>0</v>
      </c>
      <c r="E28" s="99">
        <f t="shared" si="12"/>
        <v>0</v>
      </c>
      <c r="F28" s="99">
        <f t="shared" si="12"/>
        <v>0</v>
      </c>
      <c r="G28" s="99">
        <f t="shared" si="12"/>
        <v>0</v>
      </c>
      <c r="H28" s="99">
        <f t="shared" si="12"/>
        <v>0</v>
      </c>
      <c r="I28" s="99">
        <f t="shared" si="12"/>
        <v>0</v>
      </c>
      <c r="J28" s="99">
        <f t="shared" si="12"/>
        <v>0</v>
      </c>
      <c r="K28" s="99">
        <f t="shared" si="12"/>
        <v>0</v>
      </c>
      <c r="L28" s="99">
        <f t="shared" si="12"/>
        <v>0</v>
      </c>
      <c r="M28" s="99">
        <f t="shared" si="12"/>
        <v>0</v>
      </c>
      <c r="N28" s="93">
        <f>I99</f>
        <v>0</v>
      </c>
      <c r="O28" s="146">
        <f>N28+(N28*ABS($O$2))</f>
        <v>0</v>
      </c>
      <c r="P28" s="146">
        <f>O28+(O28*ABS($P$2))</f>
        <v>0</v>
      </c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</row>
    <row r="29" spans="1:37" ht="12.75">
      <c r="A29" s="35" t="s">
        <v>68</v>
      </c>
      <c r="B29" s="99">
        <f t="shared" si="12"/>
        <v>0</v>
      </c>
      <c r="C29" s="99">
        <f t="shared" si="12"/>
        <v>0</v>
      </c>
      <c r="D29" s="99">
        <f t="shared" si="12"/>
        <v>0</v>
      </c>
      <c r="E29" s="99">
        <f t="shared" si="12"/>
        <v>0</v>
      </c>
      <c r="F29" s="99">
        <f t="shared" si="12"/>
        <v>0</v>
      </c>
      <c r="G29" s="99">
        <f t="shared" si="12"/>
        <v>0</v>
      </c>
      <c r="H29" s="99">
        <f t="shared" si="12"/>
        <v>0</v>
      </c>
      <c r="I29" s="99">
        <f t="shared" si="12"/>
        <v>0</v>
      </c>
      <c r="J29" s="99">
        <f t="shared" si="12"/>
        <v>0</v>
      </c>
      <c r="K29" s="99">
        <f t="shared" si="12"/>
        <v>0</v>
      </c>
      <c r="L29" s="99">
        <f t="shared" si="12"/>
        <v>0</v>
      </c>
      <c r="M29" s="99">
        <f t="shared" si="12"/>
        <v>0</v>
      </c>
      <c r="N29" s="93">
        <f>O75</f>
        <v>0</v>
      </c>
      <c r="O29" s="146">
        <f>N29+(N29*ABS($O$2))</f>
        <v>0</v>
      </c>
      <c r="P29" s="146">
        <f>O29+(O29*ABS($P$2))</f>
        <v>0</v>
      </c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</row>
    <row r="30" spans="1:37" ht="12.75">
      <c r="A30" s="35" t="s">
        <v>40</v>
      </c>
      <c r="B30" s="99">
        <f t="shared" si="12"/>
        <v>0</v>
      </c>
      <c r="C30" s="99">
        <f t="shared" si="12"/>
        <v>0</v>
      </c>
      <c r="D30" s="99">
        <f t="shared" si="12"/>
        <v>0</v>
      </c>
      <c r="E30" s="99">
        <f t="shared" si="12"/>
        <v>0</v>
      </c>
      <c r="F30" s="99">
        <f t="shared" si="12"/>
        <v>0</v>
      </c>
      <c r="G30" s="99">
        <f t="shared" si="12"/>
        <v>0</v>
      </c>
      <c r="H30" s="99">
        <f t="shared" si="12"/>
        <v>0</v>
      </c>
      <c r="I30" s="99">
        <f t="shared" si="12"/>
        <v>0</v>
      </c>
      <c r="J30" s="99">
        <f t="shared" si="12"/>
        <v>0</v>
      </c>
      <c r="K30" s="99">
        <f t="shared" si="12"/>
        <v>0</v>
      </c>
      <c r="L30" s="99">
        <f t="shared" si="12"/>
        <v>0</v>
      </c>
      <c r="M30" s="99">
        <f t="shared" si="12"/>
        <v>0</v>
      </c>
      <c r="N30" s="93">
        <f>O86</f>
        <v>0</v>
      </c>
      <c r="O30" s="146">
        <f>N30+(N30*ABS($O$2))</f>
        <v>0</v>
      </c>
      <c r="P30" s="146">
        <f>O30+(O30*ABS($P$2))</f>
        <v>0</v>
      </c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</row>
    <row r="31" spans="1:37" s="116" customFormat="1" ht="12.75">
      <c r="A31" s="82" t="s">
        <v>69</v>
      </c>
      <c r="B31" s="100">
        <v>0</v>
      </c>
      <c r="C31" s="100">
        <v>0</v>
      </c>
      <c r="D31" s="100">
        <v>0</v>
      </c>
      <c r="E31" s="100">
        <f aca="true" t="shared" si="13" ref="E31:K31">SUM(E28:E30)</f>
        <v>0</v>
      </c>
      <c r="F31" s="100">
        <f t="shared" si="13"/>
        <v>0</v>
      </c>
      <c r="G31" s="100">
        <f t="shared" si="13"/>
        <v>0</v>
      </c>
      <c r="H31" s="100">
        <f t="shared" si="13"/>
        <v>0</v>
      </c>
      <c r="I31" s="100">
        <f t="shared" si="13"/>
        <v>0</v>
      </c>
      <c r="J31" s="100">
        <f t="shared" si="13"/>
        <v>0</v>
      </c>
      <c r="K31" s="100">
        <f t="shared" si="13"/>
        <v>0</v>
      </c>
      <c r="L31" s="100">
        <v>0</v>
      </c>
      <c r="M31" s="100">
        <v>0</v>
      </c>
      <c r="N31" s="101">
        <f>SUM(N28:N30)</f>
        <v>0</v>
      </c>
      <c r="O31" s="105">
        <f>SUM(O28:O30)</f>
        <v>0</v>
      </c>
      <c r="P31" s="105">
        <f>SUM(P28:P30)</f>
        <v>0</v>
      </c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</row>
    <row r="32" spans="1:37" ht="12.75">
      <c r="A32" s="51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106"/>
      <c r="O32" s="114"/>
      <c r="P32" s="114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</row>
    <row r="33" spans="1:37" ht="12.75">
      <c r="A33" s="52" t="s">
        <v>70</v>
      </c>
      <c r="B33" s="93">
        <v>0</v>
      </c>
      <c r="C33" s="93">
        <v>0</v>
      </c>
      <c r="D33" s="93">
        <v>0</v>
      </c>
      <c r="E33" s="93">
        <f aca="true" t="shared" si="14" ref="E33:K33">E24-E31</f>
        <v>0</v>
      </c>
      <c r="F33" s="93">
        <f t="shared" si="14"/>
        <v>0</v>
      </c>
      <c r="G33" s="93">
        <f t="shared" si="14"/>
        <v>0</v>
      </c>
      <c r="H33" s="93">
        <f t="shared" si="14"/>
        <v>0</v>
      </c>
      <c r="I33" s="93">
        <f t="shared" si="14"/>
        <v>0</v>
      </c>
      <c r="J33" s="93">
        <f t="shared" si="14"/>
        <v>0</v>
      </c>
      <c r="K33" s="93">
        <f t="shared" si="14"/>
        <v>0</v>
      </c>
      <c r="L33" s="93">
        <v>0</v>
      </c>
      <c r="M33" s="93">
        <v>0</v>
      </c>
      <c r="N33" s="106">
        <f>N24-N31</f>
        <v>0</v>
      </c>
      <c r="O33" s="106">
        <f>O24-O31</f>
        <v>0</v>
      </c>
      <c r="P33" s="106">
        <f>P24-P31</f>
        <v>0</v>
      </c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</row>
    <row r="34" spans="1:37" ht="12.75">
      <c r="A34" s="35" t="s">
        <v>7</v>
      </c>
      <c r="B34" s="165">
        <f aca="true" t="shared" si="15" ref="B34:P34">IF(B12=0,0,B33/B12)</f>
        <v>0</v>
      </c>
      <c r="C34" s="165">
        <f t="shared" si="15"/>
        <v>0</v>
      </c>
      <c r="D34" s="165">
        <f t="shared" si="15"/>
        <v>0</v>
      </c>
      <c r="E34" s="165">
        <f t="shared" si="15"/>
        <v>0</v>
      </c>
      <c r="F34" s="165">
        <f t="shared" si="15"/>
        <v>0</v>
      </c>
      <c r="G34" s="165">
        <f t="shared" si="15"/>
        <v>0</v>
      </c>
      <c r="H34" s="165">
        <f t="shared" si="15"/>
        <v>0</v>
      </c>
      <c r="I34" s="165">
        <f t="shared" si="15"/>
        <v>0</v>
      </c>
      <c r="J34" s="165">
        <f t="shared" si="15"/>
        <v>0</v>
      </c>
      <c r="K34" s="165">
        <f t="shared" si="15"/>
        <v>0</v>
      </c>
      <c r="L34" s="165">
        <f t="shared" si="15"/>
        <v>0</v>
      </c>
      <c r="M34" s="165">
        <f t="shared" si="15"/>
        <v>0</v>
      </c>
      <c r="N34" s="165">
        <f t="shared" si="15"/>
        <v>0</v>
      </c>
      <c r="O34" s="165">
        <f t="shared" si="15"/>
        <v>0</v>
      </c>
      <c r="P34" s="165">
        <f t="shared" si="15"/>
        <v>0</v>
      </c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</row>
    <row r="35" spans="1:37" ht="12.75">
      <c r="A35" s="35"/>
      <c r="B35" s="12"/>
      <c r="C35" s="12"/>
      <c r="D35" s="12"/>
      <c r="E35" s="54"/>
      <c r="F35" s="54"/>
      <c r="G35" s="54"/>
      <c r="H35" s="54"/>
      <c r="I35" s="54"/>
      <c r="J35" s="54"/>
      <c r="K35" s="54"/>
      <c r="L35" s="12"/>
      <c r="M35" s="12"/>
      <c r="N35" s="54"/>
      <c r="O35" s="54"/>
      <c r="P35" s="54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</row>
    <row r="36" spans="1:37" ht="12.75">
      <c r="A36" s="51" t="s">
        <v>71</v>
      </c>
      <c r="B36" s="12"/>
      <c r="C36" s="12"/>
      <c r="D36" s="12"/>
      <c r="E36" s="54"/>
      <c r="F36" s="12"/>
      <c r="G36" s="12"/>
      <c r="H36" s="12"/>
      <c r="I36" s="12"/>
      <c r="J36" s="12"/>
      <c r="K36" s="12"/>
      <c r="L36" s="12"/>
      <c r="M36" s="12"/>
      <c r="N36" s="12"/>
      <c r="O36" s="1"/>
      <c r="P36" s="21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</row>
    <row r="37" spans="1:37" ht="12.75">
      <c r="A37" s="35" t="s">
        <v>197</v>
      </c>
      <c r="B37" s="99">
        <f aca="true" t="shared" si="16" ref="B37:M39">B$2*$N37</f>
        <v>0</v>
      </c>
      <c r="C37" s="99">
        <f t="shared" si="16"/>
        <v>0</v>
      </c>
      <c r="D37" s="99">
        <f t="shared" si="16"/>
        <v>0</v>
      </c>
      <c r="E37" s="99">
        <f t="shared" si="16"/>
        <v>0</v>
      </c>
      <c r="F37" s="99">
        <f t="shared" si="16"/>
        <v>0</v>
      </c>
      <c r="G37" s="99">
        <f t="shared" si="16"/>
        <v>0</v>
      </c>
      <c r="H37" s="99">
        <f t="shared" si="16"/>
        <v>0</v>
      </c>
      <c r="I37" s="99">
        <f t="shared" si="16"/>
        <v>0</v>
      </c>
      <c r="J37" s="99">
        <f t="shared" si="16"/>
        <v>0</v>
      </c>
      <c r="K37" s="99">
        <f t="shared" si="16"/>
        <v>0</v>
      </c>
      <c r="L37" s="99">
        <f t="shared" si="16"/>
        <v>0</v>
      </c>
      <c r="M37" s="99">
        <f t="shared" si="16"/>
        <v>0</v>
      </c>
      <c r="N37" s="262">
        <v>0</v>
      </c>
      <c r="O37" s="146">
        <f>N37+(N37*ABS($O$2))</f>
        <v>0</v>
      </c>
      <c r="P37" s="146">
        <f>O37+(O37*ABS($P$2))</f>
        <v>0</v>
      </c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</row>
    <row r="38" spans="1:37" ht="12.75">
      <c r="A38" s="24" t="s">
        <v>11</v>
      </c>
      <c r="B38" s="99">
        <f t="shared" si="16"/>
        <v>0</v>
      </c>
      <c r="C38" s="99">
        <f t="shared" si="16"/>
        <v>0</v>
      </c>
      <c r="D38" s="99">
        <f t="shared" si="16"/>
        <v>0</v>
      </c>
      <c r="E38" s="99">
        <f t="shared" si="16"/>
        <v>0</v>
      </c>
      <c r="F38" s="99">
        <f t="shared" si="16"/>
        <v>0</v>
      </c>
      <c r="G38" s="99">
        <f t="shared" si="16"/>
        <v>0</v>
      </c>
      <c r="H38" s="99">
        <f t="shared" si="16"/>
        <v>0</v>
      </c>
      <c r="I38" s="99">
        <f t="shared" si="16"/>
        <v>0</v>
      </c>
      <c r="J38" s="99">
        <f t="shared" si="16"/>
        <v>0</v>
      </c>
      <c r="K38" s="99">
        <f t="shared" si="16"/>
        <v>0</v>
      </c>
      <c r="L38" s="99">
        <f t="shared" si="16"/>
        <v>0</v>
      </c>
      <c r="M38" s="99">
        <f t="shared" si="16"/>
        <v>0</v>
      </c>
      <c r="N38" s="93">
        <f>O78</f>
        <v>0</v>
      </c>
      <c r="O38" s="146">
        <f>N38+(N38*ABS($O$2))</f>
        <v>0</v>
      </c>
      <c r="P38" s="146">
        <f>O38+(O38*ABS($P$2))</f>
        <v>0</v>
      </c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</row>
    <row r="39" spans="1:37" ht="12.75">
      <c r="A39" s="35" t="s">
        <v>2</v>
      </c>
      <c r="B39" s="99">
        <f t="shared" si="16"/>
        <v>0</v>
      </c>
      <c r="C39" s="99">
        <f t="shared" si="16"/>
        <v>0</v>
      </c>
      <c r="D39" s="99">
        <f t="shared" si="16"/>
        <v>0</v>
      </c>
      <c r="E39" s="99">
        <f t="shared" si="16"/>
        <v>0</v>
      </c>
      <c r="F39" s="99">
        <f t="shared" si="16"/>
        <v>0</v>
      </c>
      <c r="G39" s="99">
        <f t="shared" si="16"/>
        <v>0</v>
      </c>
      <c r="H39" s="99">
        <f t="shared" si="16"/>
        <v>0</v>
      </c>
      <c r="I39" s="99">
        <f t="shared" si="16"/>
        <v>0</v>
      </c>
      <c r="J39" s="99">
        <f t="shared" si="16"/>
        <v>0</v>
      </c>
      <c r="K39" s="99">
        <f t="shared" si="16"/>
        <v>0</v>
      </c>
      <c r="L39" s="99">
        <f t="shared" si="16"/>
        <v>0</v>
      </c>
      <c r="M39" s="99">
        <f t="shared" si="16"/>
        <v>0</v>
      </c>
      <c r="N39" s="270">
        <v>0</v>
      </c>
      <c r="O39" s="146">
        <f>N39+(N39*ABS($O$2))</f>
        <v>0</v>
      </c>
      <c r="P39" s="146">
        <f>O39+(O39*ABS($P$2))</f>
        <v>0</v>
      </c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</row>
    <row r="40" spans="1:37" s="116" customFormat="1" ht="12.75">
      <c r="A40" s="86" t="s">
        <v>73</v>
      </c>
      <c r="B40" s="100">
        <f>SUM(B28:B39)</f>
        <v>0</v>
      </c>
      <c r="C40" s="100">
        <f>SUM(C28:C39)</f>
        <v>0</v>
      </c>
      <c r="D40" s="100">
        <f>SUM(D28:D39)</f>
        <v>0</v>
      </c>
      <c r="E40" s="100">
        <f aca="true" t="shared" si="17" ref="E40:K40">SUM(E37:E39)</f>
        <v>0</v>
      </c>
      <c r="F40" s="100">
        <f t="shared" si="17"/>
        <v>0</v>
      </c>
      <c r="G40" s="100">
        <f t="shared" si="17"/>
        <v>0</v>
      </c>
      <c r="H40" s="100">
        <f t="shared" si="17"/>
        <v>0</v>
      </c>
      <c r="I40" s="100">
        <f t="shared" si="17"/>
        <v>0</v>
      </c>
      <c r="J40" s="100">
        <f t="shared" si="17"/>
        <v>0</v>
      </c>
      <c r="K40" s="100">
        <f t="shared" si="17"/>
        <v>0</v>
      </c>
      <c r="L40" s="100">
        <f>SUM(L28:L39)</f>
        <v>0</v>
      </c>
      <c r="M40" s="100">
        <f>SUM(M28:M39)</f>
        <v>0</v>
      </c>
      <c r="N40" s="100">
        <f>SUM(N37:N39)</f>
        <v>0</v>
      </c>
      <c r="O40" s="100">
        <f>SUM(O37:O39)</f>
        <v>0</v>
      </c>
      <c r="P40" s="100">
        <f>SUM(P37:P39)</f>
        <v>0</v>
      </c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</row>
    <row r="41" spans="1:37" ht="12.75">
      <c r="A41" s="44" t="s">
        <v>10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"/>
      <c r="P41" s="21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</row>
    <row r="42" spans="1:37" ht="12.75">
      <c r="A42" s="45" t="s">
        <v>74</v>
      </c>
      <c r="B42" s="91">
        <f>B24-B40</f>
        <v>0</v>
      </c>
      <c r="C42" s="91">
        <f>C24-C40</f>
        <v>0</v>
      </c>
      <c r="D42" s="91">
        <f>D24-D40</f>
        <v>0</v>
      </c>
      <c r="E42" s="91">
        <f aca="true" t="shared" si="18" ref="E42:K42">E33-E40</f>
        <v>0</v>
      </c>
      <c r="F42" s="91">
        <f t="shared" si="18"/>
        <v>0</v>
      </c>
      <c r="G42" s="91">
        <f t="shared" si="18"/>
        <v>0</v>
      </c>
      <c r="H42" s="91">
        <f t="shared" si="18"/>
        <v>0</v>
      </c>
      <c r="I42" s="91">
        <f t="shared" si="18"/>
        <v>0</v>
      </c>
      <c r="J42" s="91">
        <f t="shared" si="18"/>
        <v>0</v>
      </c>
      <c r="K42" s="91">
        <f t="shared" si="18"/>
        <v>0</v>
      </c>
      <c r="L42" s="91">
        <f>L24-L40</f>
        <v>0</v>
      </c>
      <c r="M42" s="91">
        <f>M24-M40</f>
        <v>0</v>
      </c>
      <c r="N42" s="91">
        <f>N33-N40</f>
        <v>0</v>
      </c>
      <c r="O42" s="91">
        <f>O33-O40</f>
        <v>0</v>
      </c>
      <c r="P42" s="91">
        <f>P33-P40</f>
        <v>0</v>
      </c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</row>
    <row r="43" spans="1:37" ht="12.75">
      <c r="A43" s="53" t="s">
        <v>7</v>
      </c>
      <c r="B43" s="165">
        <f aca="true" t="shared" si="19" ref="B43:P43">IF(B12=0,0,B42/B12)</f>
        <v>0</v>
      </c>
      <c r="C43" s="165">
        <f t="shared" si="19"/>
        <v>0</v>
      </c>
      <c r="D43" s="165">
        <f t="shared" si="19"/>
        <v>0</v>
      </c>
      <c r="E43" s="165">
        <f t="shared" si="19"/>
        <v>0</v>
      </c>
      <c r="F43" s="165">
        <f t="shared" si="19"/>
        <v>0</v>
      </c>
      <c r="G43" s="165">
        <f t="shared" si="19"/>
        <v>0</v>
      </c>
      <c r="H43" s="165">
        <f t="shared" si="19"/>
        <v>0</v>
      </c>
      <c r="I43" s="165">
        <f t="shared" si="19"/>
        <v>0</v>
      </c>
      <c r="J43" s="165">
        <f t="shared" si="19"/>
        <v>0</v>
      </c>
      <c r="K43" s="165">
        <f t="shared" si="19"/>
        <v>0</v>
      </c>
      <c r="L43" s="165">
        <f t="shared" si="19"/>
        <v>0</v>
      </c>
      <c r="M43" s="165">
        <f t="shared" si="19"/>
        <v>0</v>
      </c>
      <c r="N43" s="165">
        <f t="shared" si="19"/>
        <v>0</v>
      </c>
      <c r="O43" s="165">
        <f t="shared" si="19"/>
        <v>0</v>
      </c>
      <c r="P43" s="165">
        <f t="shared" si="19"/>
        <v>0</v>
      </c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</row>
    <row r="44" spans="1:37" ht="12.75">
      <c r="A44" s="53"/>
      <c r="B44" s="14"/>
      <c r="C44" s="14"/>
      <c r="D44" s="14"/>
      <c r="E44" s="54"/>
      <c r="F44" s="54"/>
      <c r="G44" s="54"/>
      <c r="H44" s="54"/>
      <c r="I44" s="54"/>
      <c r="J44" s="54"/>
      <c r="K44" s="54"/>
      <c r="L44" s="14"/>
      <c r="M44" s="14"/>
      <c r="N44" s="54"/>
      <c r="O44" s="54"/>
      <c r="P44" s="54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</row>
    <row r="45" spans="1:37" ht="12.75">
      <c r="A45" s="24" t="s">
        <v>157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93">
        <f>SUM(B45:M45)</f>
        <v>0</v>
      </c>
      <c r="O45" s="146">
        <f>N45+(N45*ABS($O$2))</f>
        <v>0</v>
      </c>
      <c r="P45" s="146">
        <f>O45+(O45*ABS($P$2))</f>
        <v>0</v>
      </c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</row>
    <row r="46" spans="1:37" ht="12.75">
      <c r="A46" s="24" t="s">
        <v>158</v>
      </c>
      <c r="B46" s="262">
        <v>0</v>
      </c>
      <c r="C46" s="262">
        <v>0</v>
      </c>
      <c r="D46" s="262">
        <v>0</v>
      </c>
      <c r="E46" s="262">
        <v>0</v>
      </c>
      <c r="F46" s="262">
        <v>0</v>
      </c>
      <c r="G46" s="262">
        <v>0</v>
      </c>
      <c r="H46" s="262">
        <v>0</v>
      </c>
      <c r="I46" s="262">
        <v>0</v>
      </c>
      <c r="J46" s="262">
        <v>0</v>
      </c>
      <c r="K46" s="262">
        <v>0</v>
      </c>
      <c r="L46" s="262">
        <v>0</v>
      </c>
      <c r="M46" s="262">
        <v>0</v>
      </c>
      <c r="N46" s="93">
        <f>SUM(B46:M46)</f>
        <v>0</v>
      </c>
      <c r="O46" s="146">
        <f>N46+(N46*ABS($O$2))</f>
        <v>0</v>
      </c>
      <c r="P46" s="146">
        <f>O46+(O46*ABS($P$2))</f>
        <v>0</v>
      </c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</row>
    <row r="47" spans="1:37" ht="12.75">
      <c r="A47" s="24" t="s">
        <v>159</v>
      </c>
      <c r="B47" s="262">
        <v>0</v>
      </c>
      <c r="C47" s="262">
        <v>0</v>
      </c>
      <c r="D47" s="262">
        <v>0</v>
      </c>
      <c r="E47" s="262">
        <v>0</v>
      </c>
      <c r="F47" s="262">
        <v>0</v>
      </c>
      <c r="G47" s="262">
        <v>0</v>
      </c>
      <c r="H47" s="262">
        <v>0</v>
      </c>
      <c r="I47" s="262">
        <v>0</v>
      </c>
      <c r="J47" s="262">
        <v>0</v>
      </c>
      <c r="K47" s="262">
        <v>0</v>
      </c>
      <c r="L47" s="262">
        <v>0</v>
      </c>
      <c r="M47" s="262">
        <v>0</v>
      </c>
      <c r="N47" s="93">
        <f>SUM(B47:M47)</f>
        <v>0</v>
      </c>
      <c r="O47" s="146">
        <f>N47+(N47*ABS($O$2))</f>
        <v>0</v>
      </c>
      <c r="P47" s="146">
        <f>O47+(O47*ABS($P$2))</f>
        <v>0</v>
      </c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</row>
    <row r="48" spans="1:37" s="113" customFormat="1" ht="12.75">
      <c r="A48" s="111" t="s">
        <v>13</v>
      </c>
      <c r="B48" s="100">
        <f>SUM(B46:B46)</f>
        <v>0</v>
      </c>
      <c r="C48" s="100">
        <f>SUM(C46:C46)</f>
        <v>0</v>
      </c>
      <c r="D48" s="100">
        <f>SUM(D46:D46)</f>
        <v>0</v>
      </c>
      <c r="E48" s="100">
        <f aca="true" t="shared" si="20" ref="E48:P48">SUM(E46:E47)</f>
        <v>0</v>
      </c>
      <c r="F48" s="100">
        <f t="shared" si="20"/>
        <v>0</v>
      </c>
      <c r="G48" s="100">
        <f t="shared" si="20"/>
        <v>0</v>
      </c>
      <c r="H48" s="100">
        <f t="shared" si="20"/>
        <v>0</v>
      </c>
      <c r="I48" s="100">
        <f t="shared" si="20"/>
        <v>0</v>
      </c>
      <c r="J48" s="100">
        <f t="shared" si="20"/>
        <v>0</v>
      </c>
      <c r="K48" s="100">
        <f t="shared" si="20"/>
        <v>0</v>
      </c>
      <c r="L48" s="100">
        <f t="shared" si="20"/>
        <v>0</v>
      </c>
      <c r="M48" s="100">
        <f t="shared" si="20"/>
        <v>0</v>
      </c>
      <c r="N48" s="100">
        <f t="shared" si="20"/>
        <v>0</v>
      </c>
      <c r="O48" s="100">
        <f t="shared" si="20"/>
        <v>0</v>
      </c>
      <c r="P48" s="100">
        <f t="shared" si="20"/>
        <v>0</v>
      </c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</row>
    <row r="49" spans="1:37" ht="12.75">
      <c r="A49" s="26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</row>
    <row r="50" spans="1:37" s="131" customFormat="1" ht="13.5" thickBot="1">
      <c r="A50" s="129" t="s">
        <v>14</v>
      </c>
      <c r="B50" s="130">
        <f aca="true" t="shared" si="21" ref="B50:P50">B42-B48</f>
        <v>0</v>
      </c>
      <c r="C50" s="130">
        <f t="shared" si="21"/>
        <v>0</v>
      </c>
      <c r="D50" s="130">
        <f t="shared" si="21"/>
        <v>0</v>
      </c>
      <c r="E50" s="130">
        <f t="shared" si="21"/>
        <v>0</v>
      </c>
      <c r="F50" s="130">
        <f t="shared" si="21"/>
        <v>0</v>
      </c>
      <c r="G50" s="130">
        <f t="shared" si="21"/>
        <v>0</v>
      </c>
      <c r="H50" s="130">
        <f t="shared" si="21"/>
        <v>0</v>
      </c>
      <c r="I50" s="130">
        <f t="shared" si="21"/>
        <v>0</v>
      </c>
      <c r="J50" s="130">
        <f t="shared" si="21"/>
        <v>0</v>
      </c>
      <c r="K50" s="130">
        <f t="shared" si="21"/>
        <v>0</v>
      </c>
      <c r="L50" s="130">
        <f t="shared" si="21"/>
        <v>0</v>
      </c>
      <c r="M50" s="130">
        <f t="shared" si="21"/>
        <v>0</v>
      </c>
      <c r="N50" s="130">
        <f t="shared" si="21"/>
        <v>0</v>
      </c>
      <c r="O50" s="130">
        <f t="shared" si="21"/>
        <v>0</v>
      </c>
      <c r="P50" s="130">
        <f t="shared" si="21"/>
        <v>0</v>
      </c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</row>
    <row r="51" spans="1:37" ht="12.75">
      <c r="A51" s="36" t="s">
        <v>7</v>
      </c>
      <c r="B51" s="165">
        <f aca="true" t="shared" si="22" ref="B51:P51">IF(B12=0,0,B50/B12)</f>
        <v>0</v>
      </c>
      <c r="C51" s="165">
        <f t="shared" si="22"/>
        <v>0</v>
      </c>
      <c r="D51" s="165">
        <f t="shared" si="22"/>
        <v>0</v>
      </c>
      <c r="E51" s="165">
        <f t="shared" si="22"/>
        <v>0</v>
      </c>
      <c r="F51" s="165">
        <f t="shared" si="22"/>
        <v>0</v>
      </c>
      <c r="G51" s="165">
        <f t="shared" si="22"/>
        <v>0</v>
      </c>
      <c r="H51" s="165">
        <f t="shared" si="22"/>
        <v>0</v>
      </c>
      <c r="I51" s="165">
        <f t="shared" si="22"/>
        <v>0</v>
      </c>
      <c r="J51" s="165">
        <f t="shared" si="22"/>
        <v>0</v>
      </c>
      <c r="K51" s="165">
        <f t="shared" si="22"/>
        <v>0</v>
      </c>
      <c r="L51" s="165">
        <f t="shared" si="22"/>
        <v>0</v>
      </c>
      <c r="M51" s="165">
        <f t="shared" si="22"/>
        <v>0</v>
      </c>
      <c r="N51" s="165">
        <f t="shared" si="22"/>
        <v>0</v>
      </c>
      <c r="O51" s="165">
        <f t="shared" si="22"/>
        <v>0</v>
      </c>
      <c r="P51" s="165">
        <f t="shared" si="22"/>
        <v>0</v>
      </c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</row>
    <row r="52" spans="1:37" ht="12.7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</row>
    <row r="53" spans="1:37" ht="13.5" thickBot="1">
      <c r="A53" s="128" t="s">
        <v>160</v>
      </c>
      <c r="B53" s="109">
        <f aca="true" t="shared" si="23" ref="B53:P53">IF(B50&gt;0,B50,0)</f>
        <v>0</v>
      </c>
      <c r="C53" s="109">
        <f t="shared" si="23"/>
        <v>0</v>
      </c>
      <c r="D53" s="109">
        <f t="shared" si="23"/>
        <v>0</v>
      </c>
      <c r="E53" s="109">
        <f t="shared" si="23"/>
        <v>0</v>
      </c>
      <c r="F53" s="109">
        <f t="shared" si="23"/>
        <v>0</v>
      </c>
      <c r="G53" s="109">
        <f t="shared" si="23"/>
        <v>0</v>
      </c>
      <c r="H53" s="109">
        <f t="shared" si="23"/>
        <v>0</v>
      </c>
      <c r="I53" s="109">
        <f t="shared" si="23"/>
        <v>0</v>
      </c>
      <c r="J53" s="109">
        <f t="shared" si="23"/>
        <v>0</v>
      </c>
      <c r="K53" s="109">
        <f t="shared" si="23"/>
        <v>0</v>
      </c>
      <c r="L53" s="109">
        <f t="shared" si="23"/>
        <v>0</v>
      </c>
      <c r="M53" s="109">
        <f t="shared" si="23"/>
        <v>0</v>
      </c>
      <c r="N53" s="109">
        <f t="shared" si="23"/>
        <v>0</v>
      </c>
      <c r="O53" s="109">
        <f t="shared" si="23"/>
        <v>0</v>
      </c>
      <c r="P53" s="109">
        <f t="shared" si="23"/>
        <v>0</v>
      </c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</row>
    <row r="54" spans="17:37" ht="12.75"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</row>
    <row r="55" spans="1:16" ht="12.75">
      <c r="A55" s="2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2"/>
      <c r="O55" s="1"/>
      <c r="P55" s="21"/>
    </row>
    <row r="56" spans="1:16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1"/>
      <c r="P56" s="21"/>
    </row>
    <row r="57" spans="1:16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1"/>
      <c r="P57" s="21"/>
    </row>
    <row r="58" spans="1:2" ht="18.75">
      <c r="A58" s="72" t="s">
        <v>85</v>
      </c>
      <c r="B58" s="127">
        <v>1</v>
      </c>
    </row>
    <row r="59" ht="12.75">
      <c r="B59" s="127">
        <v>2</v>
      </c>
    </row>
    <row r="60" ht="12.75">
      <c r="B60" s="127">
        <v>3</v>
      </c>
    </row>
    <row r="61" ht="12.75">
      <c r="B61" s="127">
        <v>4</v>
      </c>
    </row>
    <row r="62" ht="12.75">
      <c r="B62" s="127">
        <v>5</v>
      </c>
    </row>
    <row r="63" ht="12.75">
      <c r="B63" s="127">
        <v>6</v>
      </c>
    </row>
    <row r="64" spans="2:5" ht="12.75">
      <c r="B64" s="127"/>
      <c r="E64" s="299"/>
    </row>
    <row r="66" ht="19.5">
      <c r="A66" s="73" t="s">
        <v>203</v>
      </c>
    </row>
    <row r="68" spans="1:44" s="210" customFormat="1" ht="12.75">
      <c r="A68" s="281" t="s">
        <v>135</v>
      </c>
      <c r="B68" s="282"/>
      <c r="C68" s="282"/>
      <c r="D68" s="282"/>
      <c r="E68" s="281" t="s">
        <v>134</v>
      </c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</row>
    <row r="69" spans="1:44" s="210" customFormat="1" ht="12.75">
      <c r="A69" s="282"/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  <c r="AO69" s="290"/>
      <c r="AP69" s="290"/>
      <c r="AQ69" s="290"/>
      <c r="AR69" s="290"/>
    </row>
    <row r="70" spans="1:44" s="210" customFormat="1" ht="12.75">
      <c r="A70" s="281" t="s">
        <v>201</v>
      </c>
      <c r="B70" s="282"/>
      <c r="C70" s="282"/>
      <c r="D70" s="282"/>
      <c r="E70" s="281" t="s">
        <v>114</v>
      </c>
      <c r="F70" s="282"/>
      <c r="G70" s="282"/>
      <c r="H70" s="282"/>
      <c r="I70" s="282"/>
      <c r="J70" s="282"/>
      <c r="K70" s="281" t="s">
        <v>68</v>
      </c>
      <c r="L70" s="282"/>
      <c r="M70" s="282"/>
      <c r="N70" s="282"/>
      <c r="O70" s="282"/>
      <c r="P70" s="282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  <c r="AO70" s="290"/>
      <c r="AP70" s="290"/>
      <c r="AQ70" s="290"/>
      <c r="AR70" s="290"/>
    </row>
    <row r="71" spans="1:44" s="210" customFormat="1" ht="12.75">
      <c r="A71" s="281"/>
      <c r="B71" s="282"/>
      <c r="C71" s="282"/>
      <c r="D71" s="282"/>
      <c r="E71" s="281"/>
      <c r="F71" s="282"/>
      <c r="G71" s="282"/>
      <c r="H71" s="282"/>
      <c r="I71" s="282"/>
      <c r="J71" s="282"/>
      <c r="K71" s="282" t="s">
        <v>125</v>
      </c>
      <c r="L71" s="282"/>
      <c r="M71" s="282"/>
      <c r="N71" s="282"/>
      <c r="O71" s="283">
        <v>0</v>
      </c>
      <c r="P71" s="282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  <c r="AO71" s="290"/>
      <c r="AP71" s="290"/>
      <c r="AQ71" s="290"/>
      <c r="AR71" s="290"/>
    </row>
    <row r="72" spans="1:44" s="210" customFormat="1" ht="12.75">
      <c r="A72" s="284" t="s">
        <v>202</v>
      </c>
      <c r="B72" s="282"/>
      <c r="C72" s="282"/>
      <c r="D72" s="282"/>
      <c r="E72" s="282" t="s">
        <v>198</v>
      </c>
      <c r="F72" s="282"/>
      <c r="G72" s="282"/>
      <c r="H72" s="282"/>
      <c r="I72" s="300">
        <v>0</v>
      </c>
      <c r="J72" s="282"/>
      <c r="K72" s="304" t="s">
        <v>126</v>
      </c>
      <c r="L72" s="282"/>
      <c r="M72" s="282"/>
      <c r="N72" s="282"/>
      <c r="O72" s="283">
        <v>0</v>
      </c>
      <c r="P72" s="282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  <c r="AO72" s="290"/>
      <c r="AP72" s="290"/>
      <c r="AQ72" s="290"/>
      <c r="AR72" s="290"/>
    </row>
    <row r="73" spans="1:44" s="210" customFormat="1" ht="12.75">
      <c r="A73" s="282" t="s">
        <v>204</v>
      </c>
      <c r="B73" s="282"/>
      <c r="C73" s="285">
        <v>0</v>
      </c>
      <c r="D73" s="282"/>
      <c r="E73" s="282"/>
      <c r="F73" s="282"/>
      <c r="G73" s="282"/>
      <c r="H73" s="282"/>
      <c r="I73" s="301"/>
      <c r="J73" s="282"/>
      <c r="K73" s="304" t="s">
        <v>123</v>
      </c>
      <c r="L73" s="282"/>
      <c r="M73" s="282"/>
      <c r="N73" s="282"/>
      <c r="O73" s="283">
        <v>0</v>
      </c>
      <c r="P73" s="282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  <c r="AO73" s="290"/>
      <c r="AP73" s="290"/>
      <c r="AQ73" s="290"/>
      <c r="AR73" s="290"/>
    </row>
    <row r="74" spans="1:44" s="210" customFormat="1" ht="12.75">
      <c r="A74" s="282" t="s">
        <v>205</v>
      </c>
      <c r="B74" s="282"/>
      <c r="C74" s="285">
        <v>0</v>
      </c>
      <c r="D74" s="282"/>
      <c r="E74" s="282" t="s">
        <v>75</v>
      </c>
      <c r="F74" s="282"/>
      <c r="G74" s="282"/>
      <c r="H74" s="282"/>
      <c r="I74" s="300">
        <v>0</v>
      </c>
      <c r="J74" s="282"/>
      <c r="K74" s="282" t="s">
        <v>139</v>
      </c>
      <c r="L74" s="282"/>
      <c r="M74" s="282"/>
      <c r="N74" s="282"/>
      <c r="O74" s="283">
        <v>0</v>
      </c>
      <c r="P74" s="282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  <c r="AM74" s="290"/>
      <c r="AN74" s="290"/>
      <c r="AO74" s="290"/>
      <c r="AP74" s="290"/>
      <c r="AQ74" s="290"/>
      <c r="AR74" s="290"/>
    </row>
    <row r="75" spans="1:44" s="210" customFormat="1" ht="12.75">
      <c r="A75" s="282" t="s">
        <v>206</v>
      </c>
      <c r="B75" s="282"/>
      <c r="C75" s="285">
        <v>0</v>
      </c>
      <c r="D75" s="282"/>
      <c r="E75" s="282"/>
      <c r="F75" s="282"/>
      <c r="G75" s="282"/>
      <c r="H75" s="282"/>
      <c r="I75" s="282"/>
      <c r="J75" s="282"/>
      <c r="K75" s="271" t="s">
        <v>127</v>
      </c>
      <c r="L75" s="290"/>
      <c r="M75" s="290"/>
      <c r="N75" s="290"/>
      <c r="O75" s="291">
        <f>SUM(O71:O74)</f>
        <v>0</v>
      </c>
      <c r="P75" s="282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  <c r="AH75" s="290"/>
      <c r="AI75" s="290"/>
      <c r="AJ75" s="290"/>
      <c r="AK75" s="290"/>
      <c r="AL75" s="290"/>
      <c r="AM75" s="290"/>
      <c r="AN75" s="290"/>
      <c r="AO75" s="290"/>
      <c r="AP75" s="290"/>
      <c r="AQ75" s="290"/>
      <c r="AR75" s="290"/>
    </row>
    <row r="76" spans="1:44" s="210" customFormat="1" ht="12.75">
      <c r="A76" s="282" t="s">
        <v>207</v>
      </c>
      <c r="B76" s="282"/>
      <c r="C76" s="285">
        <v>0</v>
      </c>
      <c r="D76" s="282"/>
      <c r="E76" s="282" t="s">
        <v>108</v>
      </c>
      <c r="F76" s="282"/>
      <c r="G76" s="282"/>
      <c r="H76" s="282"/>
      <c r="I76" s="301">
        <v>0</v>
      </c>
      <c r="J76" s="282"/>
      <c r="K76" s="282"/>
      <c r="L76" s="282"/>
      <c r="M76" s="282"/>
      <c r="N76" s="282"/>
      <c r="O76" s="282"/>
      <c r="P76" s="282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290"/>
      <c r="AK76" s="290"/>
      <c r="AL76" s="290"/>
      <c r="AM76" s="290"/>
      <c r="AN76" s="290"/>
      <c r="AO76" s="290"/>
      <c r="AP76" s="290"/>
      <c r="AQ76" s="290"/>
      <c r="AR76" s="290"/>
    </row>
    <row r="77" spans="1:44" s="210" customFormat="1" ht="12.75">
      <c r="A77" s="282" t="s">
        <v>208</v>
      </c>
      <c r="B77" s="282"/>
      <c r="C77" s="285">
        <v>0</v>
      </c>
      <c r="D77" s="282"/>
      <c r="E77" s="282" t="s">
        <v>109</v>
      </c>
      <c r="F77" s="282"/>
      <c r="G77" s="282"/>
      <c r="H77" s="282"/>
      <c r="I77" s="301">
        <v>0</v>
      </c>
      <c r="J77" s="282"/>
      <c r="K77" s="282"/>
      <c r="L77" s="282"/>
      <c r="M77" s="282"/>
      <c r="N77" s="282"/>
      <c r="O77" s="282"/>
      <c r="P77" s="282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0"/>
      <c r="AH77" s="290"/>
      <c r="AI77" s="290"/>
      <c r="AJ77" s="290"/>
      <c r="AK77" s="290"/>
      <c r="AL77" s="290"/>
      <c r="AM77" s="290"/>
      <c r="AN77" s="290"/>
      <c r="AO77" s="290"/>
      <c r="AP77" s="290"/>
      <c r="AQ77" s="290"/>
      <c r="AR77" s="290"/>
    </row>
    <row r="78" spans="1:44" s="210" customFormat="1" ht="12.75">
      <c r="A78" s="282" t="s">
        <v>209</v>
      </c>
      <c r="B78" s="282"/>
      <c r="C78" s="285">
        <v>0</v>
      </c>
      <c r="D78" s="282"/>
      <c r="E78" s="282"/>
      <c r="F78" s="282"/>
      <c r="G78" s="282"/>
      <c r="H78" s="282"/>
      <c r="I78" s="302">
        <f>SUM(I76:I77)</f>
        <v>0</v>
      </c>
      <c r="J78" s="282"/>
      <c r="K78" s="271" t="s">
        <v>11</v>
      </c>
      <c r="L78" s="290"/>
      <c r="M78" s="290"/>
      <c r="N78" s="290"/>
      <c r="O78" s="296">
        <v>0</v>
      </c>
      <c r="P78" s="282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  <c r="AE78" s="290"/>
      <c r="AF78" s="290"/>
      <c r="AG78" s="290"/>
      <c r="AH78" s="290"/>
      <c r="AI78" s="290"/>
      <c r="AJ78" s="290"/>
      <c r="AK78" s="290"/>
      <c r="AL78" s="290"/>
      <c r="AM78" s="290"/>
      <c r="AN78" s="290"/>
      <c r="AO78" s="290"/>
      <c r="AP78" s="290"/>
      <c r="AQ78" s="290"/>
      <c r="AR78" s="290"/>
    </row>
    <row r="79" spans="1:44" s="210" customFormat="1" ht="12.75">
      <c r="A79" s="282" t="s">
        <v>210</v>
      </c>
      <c r="B79" s="282"/>
      <c r="C79" s="285">
        <v>0</v>
      </c>
      <c r="D79" s="282"/>
      <c r="E79" s="282"/>
      <c r="F79" s="282"/>
      <c r="G79" s="282"/>
      <c r="H79" s="282"/>
      <c r="I79" s="303"/>
      <c r="J79" s="282"/>
      <c r="K79" s="282"/>
      <c r="L79" s="282"/>
      <c r="M79" s="282"/>
      <c r="N79" s="282"/>
      <c r="O79" s="282"/>
      <c r="P79" s="282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  <c r="AH79" s="290"/>
      <c r="AI79" s="290"/>
      <c r="AJ79" s="290"/>
      <c r="AK79" s="290"/>
      <c r="AL79" s="290"/>
      <c r="AM79" s="290"/>
      <c r="AN79" s="290"/>
      <c r="AO79" s="290"/>
      <c r="AP79" s="290"/>
      <c r="AQ79" s="290"/>
      <c r="AR79" s="290"/>
    </row>
    <row r="80" spans="1:44" s="210" customFormat="1" ht="12.75">
      <c r="A80" s="271" t="s">
        <v>211</v>
      </c>
      <c r="B80" s="290"/>
      <c r="C80" s="291">
        <f>SUM(C73:C79)</f>
        <v>0</v>
      </c>
      <c r="D80" s="282"/>
      <c r="E80" s="282" t="s">
        <v>118</v>
      </c>
      <c r="F80" s="282"/>
      <c r="G80" s="282"/>
      <c r="H80" s="282"/>
      <c r="I80" s="300">
        <v>0</v>
      </c>
      <c r="J80" s="282"/>
      <c r="K80" s="282"/>
      <c r="L80" s="282"/>
      <c r="M80" s="282"/>
      <c r="N80" s="282"/>
      <c r="O80" s="282"/>
      <c r="P80" s="282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90"/>
      <c r="AN80" s="290"/>
      <c r="AO80" s="290"/>
      <c r="AP80" s="290"/>
      <c r="AQ80" s="290"/>
      <c r="AR80" s="290"/>
    </row>
    <row r="81" spans="1:44" s="210" customFormat="1" ht="12.75">
      <c r="A81" s="282"/>
      <c r="B81" s="282"/>
      <c r="C81" s="282"/>
      <c r="D81" s="282"/>
      <c r="E81" s="282"/>
      <c r="F81" s="282"/>
      <c r="G81" s="282"/>
      <c r="H81" s="282"/>
      <c r="I81" s="301"/>
      <c r="J81" s="282"/>
      <c r="K81" s="281" t="s">
        <v>40</v>
      </c>
      <c r="L81" s="282"/>
      <c r="M81" s="282"/>
      <c r="N81" s="282"/>
      <c r="O81" s="282"/>
      <c r="P81" s="282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90"/>
      <c r="AL81" s="290"/>
      <c r="AM81" s="290"/>
      <c r="AN81" s="290"/>
      <c r="AO81" s="290"/>
      <c r="AP81" s="290"/>
      <c r="AQ81" s="290"/>
      <c r="AR81" s="290"/>
    </row>
    <row r="82" spans="1:44" s="210" customFormat="1" ht="12.75">
      <c r="A82" s="284" t="s">
        <v>212</v>
      </c>
      <c r="B82" s="282"/>
      <c r="C82" s="282"/>
      <c r="D82" s="282"/>
      <c r="E82" s="282" t="s">
        <v>217</v>
      </c>
      <c r="F82" s="282"/>
      <c r="G82" s="282"/>
      <c r="H82" s="282"/>
      <c r="I82" s="301">
        <v>0</v>
      </c>
      <c r="J82" s="282"/>
      <c r="K82" s="282" t="s">
        <v>128</v>
      </c>
      <c r="L82" s="282"/>
      <c r="M82" s="282"/>
      <c r="N82" s="282"/>
      <c r="O82" s="283">
        <v>0</v>
      </c>
      <c r="P82" s="282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290"/>
      <c r="AD82" s="290"/>
      <c r="AE82" s="290"/>
      <c r="AF82" s="290"/>
      <c r="AG82" s="290"/>
      <c r="AH82" s="290"/>
      <c r="AI82" s="290"/>
      <c r="AJ82" s="290"/>
      <c r="AK82" s="290"/>
      <c r="AL82" s="290"/>
      <c r="AM82" s="290"/>
      <c r="AN82" s="290"/>
      <c r="AO82" s="290"/>
      <c r="AP82" s="290"/>
      <c r="AQ82" s="290"/>
      <c r="AR82" s="290"/>
    </row>
    <row r="83" spans="1:44" s="210" customFormat="1" ht="12.75">
      <c r="A83" s="282" t="s">
        <v>204</v>
      </c>
      <c r="B83" s="282"/>
      <c r="C83" s="283">
        <v>0</v>
      </c>
      <c r="D83" s="282"/>
      <c r="E83" s="282" t="s">
        <v>116</v>
      </c>
      <c r="F83" s="282"/>
      <c r="G83" s="282"/>
      <c r="H83" s="282"/>
      <c r="I83" s="301">
        <v>0</v>
      </c>
      <c r="J83" s="282"/>
      <c r="K83" s="282" t="s">
        <v>129</v>
      </c>
      <c r="L83" s="282"/>
      <c r="M83" s="282"/>
      <c r="N83" s="282"/>
      <c r="O83" s="283">
        <v>0</v>
      </c>
      <c r="P83" s="282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0"/>
      <c r="AC83" s="290"/>
      <c r="AD83" s="290"/>
      <c r="AE83" s="290"/>
      <c r="AF83" s="290"/>
      <c r="AG83" s="290"/>
      <c r="AH83" s="290"/>
      <c r="AI83" s="290"/>
      <c r="AJ83" s="290"/>
      <c r="AK83" s="290"/>
      <c r="AL83" s="290"/>
      <c r="AM83" s="290"/>
      <c r="AN83" s="290"/>
      <c r="AO83" s="290"/>
      <c r="AP83" s="290"/>
      <c r="AQ83" s="290"/>
      <c r="AR83" s="290"/>
    </row>
    <row r="84" spans="1:44" s="210" customFormat="1" ht="12.75">
      <c r="A84" s="282" t="s">
        <v>205</v>
      </c>
      <c r="B84" s="282"/>
      <c r="C84" s="283">
        <v>0</v>
      </c>
      <c r="D84" s="282"/>
      <c r="E84" s="282"/>
      <c r="F84" s="282"/>
      <c r="G84" s="282"/>
      <c r="H84" s="282"/>
      <c r="I84" s="302">
        <f>SUM(I82:I83)</f>
        <v>0</v>
      </c>
      <c r="J84" s="282"/>
      <c r="K84" s="282" t="s">
        <v>130</v>
      </c>
      <c r="L84" s="282"/>
      <c r="M84" s="282"/>
      <c r="N84" s="282"/>
      <c r="O84" s="283">
        <v>0</v>
      </c>
      <c r="P84" s="282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290"/>
      <c r="AD84" s="290"/>
      <c r="AE84" s="290"/>
      <c r="AF84" s="290"/>
      <c r="AG84" s="290"/>
      <c r="AH84" s="290"/>
      <c r="AI84" s="290"/>
      <c r="AJ84" s="290"/>
      <c r="AK84" s="290"/>
      <c r="AL84" s="290"/>
      <c r="AM84" s="290"/>
      <c r="AN84" s="290"/>
      <c r="AO84" s="290"/>
      <c r="AP84" s="290"/>
      <c r="AQ84" s="290"/>
      <c r="AR84" s="290"/>
    </row>
    <row r="85" spans="1:44" s="210" customFormat="1" ht="12.75">
      <c r="A85" s="271" t="s">
        <v>213</v>
      </c>
      <c r="B85" s="290"/>
      <c r="C85" s="291">
        <f>SUM(C83:C84)</f>
        <v>0</v>
      </c>
      <c r="D85" s="282"/>
      <c r="E85" s="282"/>
      <c r="F85" s="282"/>
      <c r="G85" s="282"/>
      <c r="H85" s="282"/>
      <c r="I85" s="282"/>
      <c r="J85" s="282"/>
      <c r="K85" s="282" t="s">
        <v>131</v>
      </c>
      <c r="L85" s="282"/>
      <c r="M85" s="282"/>
      <c r="N85" s="282"/>
      <c r="O85" s="283">
        <v>0</v>
      </c>
      <c r="P85" s="282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290"/>
      <c r="AN85" s="290"/>
      <c r="AO85" s="290"/>
      <c r="AP85" s="290"/>
      <c r="AQ85" s="290"/>
      <c r="AR85" s="290"/>
    </row>
    <row r="86" spans="1:44" s="210" customFormat="1" ht="12.75">
      <c r="A86" s="282"/>
      <c r="B86" s="282"/>
      <c r="C86" s="282"/>
      <c r="D86" s="282"/>
      <c r="E86" s="271" t="s">
        <v>117</v>
      </c>
      <c r="F86" s="290"/>
      <c r="G86" s="290"/>
      <c r="H86" s="290"/>
      <c r="I86" s="292">
        <f>I72+I74+I78+I80+I84</f>
        <v>0</v>
      </c>
      <c r="J86" s="282"/>
      <c r="K86" s="271" t="s">
        <v>132</v>
      </c>
      <c r="L86" s="290"/>
      <c r="M86" s="290"/>
      <c r="N86" s="290"/>
      <c r="O86" s="291">
        <f>SUM(O82:O85)</f>
        <v>0</v>
      </c>
      <c r="P86" s="282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  <c r="AD86" s="290"/>
      <c r="AE86" s="290"/>
      <c r="AF86" s="290"/>
      <c r="AG86" s="290"/>
      <c r="AH86" s="290"/>
      <c r="AI86" s="290"/>
      <c r="AJ86" s="290"/>
      <c r="AK86" s="290"/>
      <c r="AL86" s="290"/>
      <c r="AM86" s="290"/>
      <c r="AN86" s="290"/>
      <c r="AO86" s="290"/>
      <c r="AP86" s="290"/>
      <c r="AQ86" s="290"/>
      <c r="AR86" s="290"/>
    </row>
    <row r="87" spans="1:44" s="210" customFormat="1" ht="12.75">
      <c r="A87" s="284" t="s">
        <v>214</v>
      </c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0"/>
      <c r="AI87" s="290"/>
      <c r="AJ87" s="290"/>
      <c r="AK87" s="290"/>
      <c r="AL87" s="290"/>
      <c r="AM87" s="290"/>
      <c r="AN87" s="290"/>
      <c r="AO87" s="290"/>
      <c r="AP87" s="290"/>
      <c r="AQ87" s="290"/>
      <c r="AR87" s="290"/>
    </row>
    <row r="88" spans="1:44" s="210" customFormat="1" ht="12.75">
      <c r="A88" s="282" t="s">
        <v>215</v>
      </c>
      <c r="B88" s="282"/>
      <c r="C88" s="283">
        <v>0</v>
      </c>
      <c r="D88" s="282"/>
      <c r="E88" s="282" t="s">
        <v>218</v>
      </c>
      <c r="F88" s="282"/>
      <c r="G88" s="282"/>
      <c r="H88" s="282"/>
      <c r="I88" s="283">
        <v>0</v>
      </c>
      <c r="J88" s="282"/>
      <c r="K88" s="282"/>
      <c r="L88" s="282"/>
      <c r="M88" s="282"/>
      <c r="N88" s="282"/>
      <c r="O88" s="282"/>
      <c r="P88" s="282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290"/>
      <c r="AD88" s="290"/>
      <c r="AE88" s="290"/>
      <c r="AF88" s="290"/>
      <c r="AG88" s="290"/>
      <c r="AH88" s="290"/>
      <c r="AI88" s="290"/>
      <c r="AJ88" s="290"/>
      <c r="AK88" s="290"/>
      <c r="AL88" s="290"/>
      <c r="AM88" s="290"/>
      <c r="AN88" s="290"/>
      <c r="AO88" s="290"/>
      <c r="AP88" s="290"/>
      <c r="AQ88" s="290"/>
      <c r="AR88" s="290"/>
    </row>
    <row r="89" spans="1:44" s="210" customFormat="1" ht="12.75">
      <c r="A89" s="282" t="s">
        <v>107</v>
      </c>
      <c r="B89" s="282"/>
      <c r="C89" s="283">
        <v>0</v>
      </c>
      <c r="D89" s="282"/>
      <c r="E89" s="282" t="s">
        <v>133</v>
      </c>
      <c r="F89" s="282"/>
      <c r="G89" s="282"/>
      <c r="H89" s="282"/>
      <c r="I89" s="283">
        <v>0</v>
      </c>
      <c r="J89" s="282"/>
      <c r="K89" s="282"/>
      <c r="L89" s="282"/>
      <c r="M89" s="282"/>
      <c r="N89" s="282"/>
      <c r="O89" s="282"/>
      <c r="P89" s="282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290"/>
      <c r="AG89" s="290"/>
      <c r="AH89" s="290"/>
      <c r="AI89" s="290"/>
      <c r="AJ89" s="290"/>
      <c r="AK89" s="290"/>
      <c r="AL89" s="290"/>
      <c r="AM89" s="290"/>
      <c r="AN89" s="290"/>
      <c r="AO89" s="290"/>
      <c r="AP89" s="290"/>
      <c r="AQ89" s="290"/>
      <c r="AR89" s="290"/>
    </row>
    <row r="90" spans="1:44" s="210" customFormat="1" ht="12.75">
      <c r="A90" s="282" t="s">
        <v>104</v>
      </c>
      <c r="B90" s="282"/>
      <c r="C90" s="283">
        <v>0</v>
      </c>
      <c r="D90" s="282"/>
      <c r="E90" s="271" t="s">
        <v>5</v>
      </c>
      <c r="F90" s="290"/>
      <c r="G90" s="290"/>
      <c r="H90" s="290"/>
      <c r="I90" s="291">
        <f>SUM(I88:I89)</f>
        <v>0</v>
      </c>
      <c r="J90" s="282"/>
      <c r="K90" s="282"/>
      <c r="L90" s="282"/>
      <c r="M90" s="282"/>
      <c r="N90" s="282"/>
      <c r="O90" s="282"/>
      <c r="P90" s="282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0"/>
      <c r="AC90" s="290"/>
      <c r="AD90" s="290"/>
      <c r="AE90" s="290"/>
      <c r="AF90" s="290"/>
      <c r="AG90" s="290"/>
      <c r="AH90" s="290"/>
      <c r="AI90" s="290"/>
      <c r="AJ90" s="290"/>
      <c r="AK90" s="290"/>
      <c r="AL90" s="290"/>
      <c r="AM90" s="290"/>
      <c r="AN90" s="290"/>
      <c r="AO90" s="290"/>
      <c r="AP90" s="290"/>
      <c r="AQ90" s="290"/>
      <c r="AR90" s="290"/>
    </row>
    <row r="91" spans="1:44" s="210" customFormat="1" ht="12.75">
      <c r="A91" s="271" t="s">
        <v>105</v>
      </c>
      <c r="B91" s="290"/>
      <c r="C91" s="291">
        <f>SUM(C89:C90)</f>
        <v>0</v>
      </c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  <c r="AD91" s="290"/>
      <c r="AE91" s="290"/>
      <c r="AF91" s="290"/>
      <c r="AG91" s="290"/>
      <c r="AH91" s="290"/>
      <c r="AI91" s="290"/>
      <c r="AJ91" s="290"/>
      <c r="AK91" s="290"/>
      <c r="AL91" s="290"/>
      <c r="AM91" s="290"/>
      <c r="AN91" s="290"/>
      <c r="AO91" s="290"/>
      <c r="AP91" s="290"/>
      <c r="AQ91" s="290"/>
      <c r="AR91" s="290"/>
    </row>
    <row r="92" spans="1:44" s="210" customFormat="1" ht="12.75">
      <c r="A92" s="282"/>
      <c r="B92" s="282"/>
      <c r="C92" s="282"/>
      <c r="D92" s="282"/>
      <c r="E92" s="281" t="s">
        <v>65</v>
      </c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0"/>
      <c r="AH92" s="290"/>
      <c r="AI92" s="290"/>
      <c r="AJ92" s="290"/>
      <c r="AK92" s="290"/>
      <c r="AL92" s="290"/>
      <c r="AM92" s="290"/>
      <c r="AN92" s="290"/>
      <c r="AO92" s="290"/>
      <c r="AP92" s="290"/>
      <c r="AQ92" s="290"/>
      <c r="AR92" s="290"/>
    </row>
    <row r="93" spans="1:44" s="210" customFormat="1" ht="12.75">
      <c r="A93" s="284" t="s">
        <v>216</v>
      </c>
      <c r="B93" s="282"/>
      <c r="C93" s="282"/>
      <c r="D93" s="282"/>
      <c r="E93" s="282" t="s">
        <v>119</v>
      </c>
      <c r="F93" s="282"/>
      <c r="G93" s="282"/>
      <c r="H93" s="282"/>
      <c r="I93" s="283">
        <v>0</v>
      </c>
      <c r="J93" s="282"/>
      <c r="K93" s="282"/>
      <c r="L93" s="282"/>
      <c r="M93" s="282"/>
      <c r="N93" s="282"/>
      <c r="O93" s="282"/>
      <c r="P93" s="282"/>
      <c r="Q93" s="290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0"/>
      <c r="AC93" s="290"/>
      <c r="AD93" s="290"/>
      <c r="AE93" s="290"/>
      <c r="AF93" s="290"/>
      <c r="AG93" s="290"/>
      <c r="AH93" s="290"/>
      <c r="AI93" s="290"/>
      <c r="AJ93" s="290"/>
      <c r="AK93" s="290"/>
      <c r="AL93" s="290"/>
      <c r="AM93" s="290"/>
      <c r="AN93" s="290"/>
      <c r="AO93" s="290"/>
      <c r="AP93" s="290"/>
      <c r="AQ93" s="290"/>
      <c r="AR93" s="290"/>
    </row>
    <row r="94" spans="1:44" s="210" customFormat="1" ht="12.75">
      <c r="A94" s="282" t="s">
        <v>108</v>
      </c>
      <c r="B94" s="282"/>
      <c r="C94" s="283">
        <v>0</v>
      </c>
      <c r="D94" s="282"/>
      <c r="E94" s="282" t="s">
        <v>120</v>
      </c>
      <c r="F94" s="282"/>
      <c r="G94" s="282"/>
      <c r="H94" s="282"/>
      <c r="I94" s="283">
        <v>0</v>
      </c>
      <c r="J94" s="282"/>
      <c r="K94" s="282"/>
      <c r="L94" s="282"/>
      <c r="M94" s="282"/>
      <c r="N94" s="282"/>
      <c r="O94" s="282"/>
      <c r="P94" s="282"/>
      <c r="Q94" s="290"/>
      <c r="R94" s="290"/>
      <c r="S94" s="290"/>
      <c r="T94" s="290"/>
      <c r="U94" s="290"/>
      <c r="V94" s="290"/>
      <c r="W94" s="290"/>
      <c r="X94" s="290"/>
      <c r="Y94" s="290"/>
      <c r="Z94" s="290"/>
      <c r="AA94" s="290"/>
      <c r="AB94" s="290"/>
      <c r="AC94" s="290"/>
      <c r="AD94" s="290"/>
      <c r="AE94" s="290"/>
      <c r="AF94" s="290"/>
      <c r="AG94" s="290"/>
      <c r="AH94" s="290"/>
      <c r="AI94" s="290"/>
      <c r="AJ94" s="290"/>
      <c r="AK94" s="290"/>
      <c r="AL94" s="290"/>
      <c r="AM94" s="290"/>
      <c r="AN94" s="290"/>
      <c r="AO94" s="290"/>
      <c r="AP94" s="290"/>
      <c r="AQ94" s="290"/>
      <c r="AR94" s="290"/>
    </row>
    <row r="95" spans="1:44" s="210" customFormat="1" ht="12.75">
      <c r="A95" s="282" t="s">
        <v>75</v>
      </c>
      <c r="B95" s="282"/>
      <c r="C95" s="283">
        <v>0</v>
      </c>
      <c r="D95" s="282"/>
      <c r="E95" s="282" t="s">
        <v>121</v>
      </c>
      <c r="F95" s="282"/>
      <c r="G95" s="282"/>
      <c r="H95" s="282"/>
      <c r="I95" s="283">
        <v>0</v>
      </c>
      <c r="J95" s="282"/>
      <c r="K95" s="282"/>
      <c r="L95" s="282"/>
      <c r="M95" s="282"/>
      <c r="N95" s="282"/>
      <c r="O95" s="282"/>
      <c r="P95" s="282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90"/>
      <c r="AH95" s="290"/>
      <c r="AI95" s="290"/>
      <c r="AJ95" s="290"/>
      <c r="AK95" s="290"/>
      <c r="AL95" s="290"/>
      <c r="AM95" s="290"/>
      <c r="AN95" s="290"/>
      <c r="AO95" s="290"/>
      <c r="AP95" s="290"/>
      <c r="AQ95" s="290"/>
      <c r="AR95" s="290"/>
    </row>
    <row r="96" spans="1:44" s="210" customFormat="1" ht="12.75">
      <c r="A96" s="282" t="s">
        <v>109</v>
      </c>
      <c r="B96" s="282"/>
      <c r="C96" s="283">
        <v>0</v>
      </c>
      <c r="D96" s="282"/>
      <c r="E96" s="282" t="s">
        <v>122</v>
      </c>
      <c r="F96" s="282"/>
      <c r="G96" s="282"/>
      <c r="H96" s="282"/>
      <c r="I96" s="283">
        <v>0</v>
      </c>
      <c r="J96" s="282"/>
      <c r="K96" s="282"/>
      <c r="L96" s="282"/>
      <c r="M96" s="282"/>
      <c r="N96" s="282"/>
      <c r="O96" s="282"/>
      <c r="P96" s="282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90"/>
      <c r="AH96" s="290"/>
      <c r="AI96" s="290"/>
      <c r="AJ96" s="290"/>
      <c r="AK96" s="290"/>
      <c r="AL96" s="290"/>
      <c r="AM96" s="290"/>
      <c r="AN96" s="290"/>
      <c r="AO96" s="290"/>
      <c r="AP96" s="290"/>
      <c r="AQ96" s="290"/>
      <c r="AR96" s="290"/>
    </row>
    <row r="97" spans="1:44" s="210" customFormat="1" ht="12.75">
      <c r="A97" s="282" t="s">
        <v>217</v>
      </c>
      <c r="B97" s="282"/>
      <c r="C97" s="283">
        <v>0</v>
      </c>
      <c r="D97" s="282"/>
      <c r="E97" s="282" t="s">
        <v>138</v>
      </c>
      <c r="F97" s="282"/>
      <c r="G97" s="282"/>
      <c r="H97" s="282"/>
      <c r="I97" s="283">
        <v>0</v>
      </c>
      <c r="J97" s="282"/>
      <c r="K97" s="282"/>
      <c r="L97" s="282"/>
      <c r="M97" s="282"/>
      <c r="N97" s="282"/>
      <c r="O97" s="282"/>
      <c r="P97" s="282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90"/>
      <c r="AH97" s="290"/>
      <c r="AI97" s="290"/>
      <c r="AJ97" s="290"/>
      <c r="AK97" s="290"/>
      <c r="AL97" s="290"/>
      <c r="AM97" s="290"/>
      <c r="AN97" s="290"/>
      <c r="AO97" s="290"/>
      <c r="AP97" s="290"/>
      <c r="AQ97" s="290"/>
      <c r="AR97" s="290"/>
    </row>
    <row r="98" spans="1:44" s="210" customFormat="1" ht="12.75">
      <c r="A98" s="271" t="s">
        <v>111</v>
      </c>
      <c r="B98" s="290"/>
      <c r="C98" s="291">
        <f>SUM(C94:C97)</f>
        <v>0</v>
      </c>
      <c r="D98" s="282"/>
      <c r="E98" s="282" t="s">
        <v>140</v>
      </c>
      <c r="F98" s="282"/>
      <c r="G98" s="282"/>
      <c r="H98" s="282"/>
      <c r="I98" s="283">
        <v>0</v>
      </c>
      <c r="J98" s="282"/>
      <c r="K98" s="282"/>
      <c r="L98" s="282"/>
      <c r="M98" s="282"/>
      <c r="N98" s="282"/>
      <c r="O98" s="282"/>
      <c r="P98" s="282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F98" s="290"/>
      <c r="AG98" s="290"/>
      <c r="AH98" s="290"/>
      <c r="AI98" s="290"/>
      <c r="AJ98" s="290"/>
      <c r="AK98" s="290"/>
      <c r="AL98" s="290"/>
      <c r="AM98" s="290"/>
      <c r="AN98" s="290"/>
      <c r="AO98" s="290"/>
      <c r="AP98" s="290"/>
      <c r="AQ98" s="290"/>
      <c r="AR98" s="290"/>
    </row>
    <row r="99" spans="1:44" s="210" customFormat="1" ht="12.75">
      <c r="A99" s="282"/>
      <c r="B99" s="282"/>
      <c r="C99" s="282"/>
      <c r="D99" s="282"/>
      <c r="E99" s="271" t="s">
        <v>124</v>
      </c>
      <c r="F99" s="290"/>
      <c r="G99" s="290"/>
      <c r="H99" s="290"/>
      <c r="I99" s="291">
        <f>SUM(I93:I98)</f>
        <v>0</v>
      </c>
      <c r="J99" s="282"/>
      <c r="K99" s="282"/>
      <c r="L99" s="282"/>
      <c r="M99" s="282"/>
      <c r="N99" s="282"/>
      <c r="O99" s="282"/>
      <c r="P99" s="282"/>
      <c r="Q99" s="290"/>
      <c r="R99" s="290"/>
      <c r="S99" s="290"/>
      <c r="T99" s="290"/>
      <c r="U99" s="290"/>
      <c r="V99" s="290"/>
      <c r="W99" s="290"/>
      <c r="X99" s="290"/>
      <c r="Y99" s="290"/>
      <c r="Z99" s="290"/>
      <c r="AA99" s="290"/>
      <c r="AB99" s="290"/>
      <c r="AC99" s="290"/>
      <c r="AD99" s="290"/>
      <c r="AE99" s="290"/>
      <c r="AF99" s="290"/>
      <c r="AG99" s="290"/>
      <c r="AH99" s="290"/>
      <c r="AI99" s="290"/>
      <c r="AJ99" s="290"/>
      <c r="AK99" s="290"/>
      <c r="AL99" s="290"/>
      <c r="AM99" s="290"/>
      <c r="AN99" s="290"/>
      <c r="AO99" s="290"/>
      <c r="AP99" s="290"/>
      <c r="AQ99" s="290"/>
      <c r="AR99" s="290"/>
    </row>
    <row r="100" spans="1:44" s="210" customFormat="1" ht="12.75">
      <c r="A100" s="271" t="s">
        <v>113</v>
      </c>
      <c r="B100" s="290"/>
      <c r="C100" s="293">
        <f>C98+C91+C85+C80</f>
        <v>0</v>
      </c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290"/>
      <c r="AM100" s="290"/>
      <c r="AN100" s="290"/>
      <c r="AO100" s="290"/>
      <c r="AP100" s="290"/>
      <c r="AQ100" s="290"/>
      <c r="AR100" s="290"/>
    </row>
    <row r="101" spans="1:44" s="210" customFormat="1" ht="12.75">
      <c r="A101" s="282"/>
      <c r="B101" s="282"/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7"/>
      <c r="O101" s="282"/>
      <c r="P101" s="282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0"/>
      <c r="AD101" s="290"/>
      <c r="AE101" s="290"/>
      <c r="AF101" s="290"/>
      <c r="AG101" s="290"/>
      <c r="AH101" s="290"/>
      <c r="AI101" s="290"/>
      <c r="AJ101" s="290"/>
      <c r="AK101" s="290"/>
      <c r="AL101" s="290"/>
      <c r="AM101" s="290"/>
      <c r="AN101" s="290"/>
      <c r="AO101" s="290"/>
      <c r="AP101" s="290"/>
      <c r="AQ101" s="290"/>
      <c r="AR101" s="290"/>
    </row>
    <row r="102" spans="1:44" s="210" customFormat="1" ht="12.75">
      <c r="A102" s="282"/>
      <c r="B102" s="282"/>
      <c r="C102" s="282"/>
      <c r="D102" s="282"/>
      <c r="E102" s="282"/>
      <c r="F102" s="282"/>
      <c r="G102" s="282"/>
      <c r="H102" s="282"/>
      <c r="I102" s="282"/>
      <c r="J102" s="281"/>
      <c r="K102" s="282"/>
      <c r="L102" s="282"/>
      <c r="M102" s="282"/>
      <c r="N102" s="286"/>
      <c r="O102" s="282"/>
      <c r="P102" s="282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  <c r="AA102" s="290"/>
      <c r="AB102" s="290"/>
      <c r="AC102" s="290"/>
      <c r="AD102" s="290"/>
      <c r="AE102" s="290"/>
      <c r="AF102" s="290"/>
      <c r="AG102" s="290"/>
      <c r="AH102" s="290"/>
      <c r="AI102" s="290"/>
      <c r="AJ102" s="290"/>
      <c r="AK102" s="290"/>
      <c r="AL102" s="290"/>
      <c r="AM102" s="290"/>
      <c r="AN102" s="290"/>
      <c r="AO102" s="290"/>
      <c r="AP102" s="290"/>
      <c r="AQ102" s="290"/>
      <c r="AR102" s="290"/>
    </row>
    <row r="103" spans="1:44" s="210" customFormat="1" ht="12.75">
      <c r="A103" s="282"/>
      <c r="B103" s="282"/>
      <c r="C103" s="282"/>
      <c r="D103" s="28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  <c r="AA103" s="290"/>
      <c r="AB103" s="290"/>
      <c r="AC103" s="290"/>
      <c r="AD103" s="290"/>
      <c r="AE103" s="290"/>
      <c r="AF103" s="290"/>
      <c r="AG103" s="290"/>
      <c r="AH103" s="290"/>
      <c r="AI103" s="290"/>
      <c r="AJ103" s="290"/>
      <c r="AK103" s="290"/>
      <c r="AL103" s="290"/>
      <c r="AM103" s="290"/>
      <c r="AN103" s="290"/>
      <c r="AO103" s="290"/>
      <c r="AP103" s="290"/>
      <c r="AQ103" s="290"/>
      <c r="AR103" s="290"/>
    </row>
    <row r="104" spans="17:44" ht="12.75"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  <c r="AA104" s="290"/>
      <c r="AB104" s="290"/>
      <c r="AC104" s="290"/>
      <c r="AD104" s="290"/>
      <c r="AE104" s="290"/>
      <c r="AF104" s="290"/>
      <c r="AG104" s="290"/>
      <c r="AH104" s="290"/>
      <c r="AI104" s="290"/>
      <c r="AJ104" s="290"/>
      <c r="AK104" s="290"/>
      <c r="AL104" s="290"/>
      <c r="AM104" s="290"/>
      <c r="AN104" s="290"/>
      <c r="AO104" s="290"/>
      <c r="AP104" s="290"/>
      <c r="AQ104" s="290"/>
      <c r="AR104" s="290"/>
    </row>
    <row r="105" spans="17:44" ht="12.75"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  <c r="AA105" s="290"/>
      <c r="AB105" s="290"/>
      <c r="AC105" s="290"/>
      <c r="AD105" s="290"/>
      <c r="AE105" s="290"/>
      <c r="AF105" s="290"/>
      <c r="AG105" s="290"/>
      <c r="AH105" s="290"/>
      <c r="AI105" s="290"/>
      <c r="AJ105" s="290"/>
      <c r="AK105" s="290"/>
      <c r="AL105" s="290"/>
      <c r="AM105" s="290"/>
      <c r="AN105" s="290"/>
      <c r="AO105" s="290"/>
      <c r="AP105" s="290"/>
      <c r="AQ105" s="290"/>
      <c r="AR105" s="290"/>
    </row>
    <row r="106" spans="17:44" ht="12.75"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  <c r="AA106" s="290"/>
      <c r="AB106" s="290"/>
      <c r="AC106" s="290"/>
      <c r="AD106" s="290"/>
      <c r="AE106" s="290"/>
      <c r="AF106" s="290"/>
      <c r="AG106" s="290"/>
      <c r="AH106" s="290"/>
      <c r="AI106" s="290"/>
      <c r="AJ106" s="290"/>
      <c r="AK106" s="290"/>
      <c r="AL106" s="290"/>
      <c r="AM106" s="290"/>
      <c r="AN106" s="290"/>
      <c r="AO106" s="290"/>
      <c r="AP106" s="290"/>
      <c r="AQ106" s="290"/>
      <c r="AR106" s="290"/>
    </row>
    <row r="107" spans="17:44" ht="12.75"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  <c r="AA107" s="290"/>
      <c r="AB107" s="290"/>
      <c r="AC107" s="290"/>
      <c r="AD107" s="290"/>
      <c r="AE107" s="290"/>
      <c r="AF107" s="290"/>
      <c r="AG107" s="290"/>
      <c r="AH107" s="290"/>
      <c r="AI107" s="290"/>
      <c r="AJ107" s="290"/>
      <c r="AK107" s="290"/>
      <c r="AL107" s="290"/>
      <c r="AM107" s="290"/>
      <c r="AN107" s="290"/>
      <c r="AO107" s="290"/>
      <c r="AP107" s="290"/>
      <c r="AQ107" s="290"/>
      <c r="AR107" s="290"/>
    </row>
    <row r="108" spans="17:44" ht="12.75"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  <c r="AA108" s="290"/>
      <c r="AB108" s="290"/>
      <c r="AC108" s="290"/>
      <c r="AD108" s="290"/>
      <c r="AE108" s="290"/>
      <c r="AF108" s="290"/>
      <c r="AG108" s="290"/>
      <c r="AH108" s="290"/>
      <c r="AI108" s="290"/>
      <c r="AJ108" s="290"/>
      <c r="AK108" s="290"/>
      <c r="AL108" s="290"/>
      <c r="AM108" s="290"/>
      <c r="AN108" s="290"/>
      <c r="AO108" s="290"/>
      <c r="AP108" s="290"/>
      <c r="AQ108" s="290"/>
      <c r="AR108" s="290"/>
    </row>
    <row r="109" spans="17:44" ht="12.75"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0"/>
      <c r="AC109" s="290"/>
      <c r="AD109" s="290"/>
      <c r="AE109" s="290"/>
      <c r="AF109" s="290"/>
      <c r="AG109" s="290"/>
      <c r="AH109" s="290"/>
      <c r="AI109" s="290"/>
      <c r="AJ109" s="290"/>
      <c r="AK109" s="290"/>
      <c r="AL109" s="290"/>
      <c r="AM109" s="290"/>
      <c r="AN109" s="290"/>
      <c r="AO109" s="290"/>
      <c r="AP109" s="290"/>
      <c r="AQ109" s="290"/>
      <c r="AR109" s="290"/>
    </row>
    <row r="110" spans="17:44" ht="12.75"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  <c r="AA110" s="290"/>
      <c r="AB110" s="290"/>
      <c r="AC110" s="290"/>
      <c r="AD110" s="290"/>
      <c r="AE110" s="290"/>
      <c r="AF110" s="290"/>
      <c r="AG110" s="290"/>
      <c r="AH110" s="290"/>
      <c r="AI110" s="290"/>
      <c r="AJ110" s="290"/>
      <c r="AK110" s="290"/>
      <c r="AL110" s="290"/>
      <c r="AM110" s="290"/>
      <c r="AN110" s="290"/>
      <c r="AO110" s="290"/>
      <c r="AP110" s="290"/>
      <c r="AQ110" s="290"/>
      <c r="AR110" s="290"/>
    </row>
    <row r="111" spans="9:44" ht="12.75">
      <c r="I111" s="4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290"/>
      <c r="AD111" s="290"/>
      <c r="AE111" s="290"/>
      <c r="AF111" s="290"/>
      <c r="AG111" s="290"/>
      <c r="AH111" s="290"/>
      <c r="AI111" s="290"/>
      <c r="AJ111" s="290"/>
      <c r="AK111" s="290"/>
      <c r="AL111" s="290"/>
      <c r="AM111" s="290"/>
      <c r="AN111" s="290"/>
      <c r="AO111" s="290"/>
      <c r="AP111" s="290"/>
      <c r="AQ111" s="290"/>
      <c r="AR111" s="290"/>
    </row>
    <row r="112" spans="9:44" ht="12.75">
      <c r="I112" s="4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290"/>
      <c r="AD112" s="290"/>
      <c r="AE112" s="290"/>
      <c r="AF112" s="290"/>
      <c r="AG112" s="290"/>
      <c r="AH112" s="290"/>
      <c r="AI112" s="290"/>
      <c r="AJ112" s="290"/>
      <c r="AK112" s="290"/>
      <c r="AL112" s="290"/>
      <c r="AM112" s="290"/>
      <c r="AN112" s="290"/>
      <c r="AO112" s="290"/>
      <c r="AP112" s="290"/>
      <c r="AQ112" s="290"/>
      <c r="AR112" s="290"/>
    </row>
    <row r="113" spans="9:44" ht="12.75">
      <c r="I113" s="4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  <c r="AA113" s="290"/>
      <c r="AB113" s="290"/>
      <c r="AC113" s="290"/>
      <c r="AD113" s="290"/>
      <c r="AE113" s="290"/>
      <c r="AF113" s="290"/>
      <c r="AG113" s="290"/>
      <c r="AH113" s="290"/>
      <c r="AI113" s="290"/>
      <c r="AJ113" s="290"/>
      <c r="AK113" s="290"/>
      <c r="AL113" s="290"/>
      <c r="AM113" s="290"/>
      <c r="AN113" s="290"/>
      <c r="AO113" s="290"/>
      <c r="AP113" s="290"/>
      <c r="AQ113" s="290"/>
      <c r="AR113" s="290"/>
    </row>
    <row r="114" spans="9:44" ht="12.75">
      <c r="I114" s="4"/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  <c r="AA114" s="290"/>
      <c r="AB114" s="290"/>
      <c r="AC114" s="290"/>
      <c r="AD114" s="290"/>
      <c r="AE114" s="290"/>
      <c r="AF114" s="290"/>
      <c r="AG114" s="290"/>
      <c r="AH114" s="290"/>
      <c r="AI114" s="290"/>
      <c r="AJ114" s="290"/>
      <c r="AK114" s="290"/>
      <c r="AL114" s="290"/>
      <c r="AM114" s="290"/>
      <c r="AN114" s="290"/>
      <c r="AO114" s="290"/>
      <c r="AP114" s="290"/>
      <c r="AQ114" s="290"/>
      <c r="AR114" s="290"/>
    </row>
    <row r="115" spans="9:44" ht="12.75">
      <c r="I115" s="4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0"/>
      <c r="AG115" s="290"/>
      <c r="AH115" s="290"/>
      <c r="AI115" s="290"/>
      <c r="AJ115" s="290"/>
      <c r="AK115" s="290"/>
      <c r="AL115" s="290"/>
      <c r="AM115" s="290"/>
      <c r="AN115" s="290"/>
      <c r="AO115" s="290"/>
      <c r="AP115" s="290"/>
      <c r="AQ115" s="290"/>
      <c r="AR115" s="290"/>
    </row>
    <row r="116" spans="17:44" ht="12.75"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  <c r="AA116" s="290"/>
      <c r="AB116" s="290"/>
      <c r="AC116" s="290"/>
      <c r="AD116" s="290"/>
      <c r="AE116" s="290"/>
      <c r="AF116" s="290"/>
      <c r="AG116" s="290"/>
      <c r="AH116" s="290"/>
      <c r="AI116" s="290"/>
      <c r="AJ116" s="290"/>
      <c r="AK116" s="290"/>
      <c r="AL116" s="290"/>
      <c r="AM116" s="290"/>
      <c r="AN116" s="290"/>
      <c r="AO116" s="290"/>
      <c r="AP116" s="290"/>
      <c r="AQ116" s="290"/>
      <c r="AR116" s="290"/>
    </row>
  </sheetData>
  <sheetProtection/>
  <mergeCells count="3">
    <mergeCell ref="B4:P4"/>
    <mergeCell ref="O1:P1"/>
    <mergeCell ref="B1:N1"/>
  </mergeCells>
  <printOptions horizontalCentered="1"/>
  <pageMargins left="0.1968503937007874" right="0.1968503937007874" top="0.7874015748031497" bottom="0.1968503937007874" header="0.5118110236220472" footer="0.5118110236220472"/>
  <pageSetup orientation="landscape" scale="69" r:id="rId1"/>
  <headerFooter alignWithMargins="0">
    <oddHeader xml:space="preserve">&amp;C&amp;"Times New Roman,Bold"&amp;11Acme Wilderness Adventures
Income Expense Statement&amp;R&amp;"Times New Roman,Bold"&amp;11Diversification Model </oddHeader>
  </headerFooter>
  <rowBreaks count="1" manualBreakCount="1"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8"/>
  <sheetViews>
    <sheetView zoomScalePageLayoutView="0" workbookViewId="0" topLeftCell="A1">
      <pane xSplit="1" ySplit="3" topLeftCell="K5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0" sqref="O20"/>
    </sheetView>
  </sheetViews>
  <sheetFormatPr defaultColWidth="9.33203125" defaultRowHeight="12.75"/>
  <cols>
    <col min="1" max="1" width="34.83203125" style="1" customWidth="1"/>
    <col min="2" max="13" width="10.83203125" style="1" customWidth="1"/>
    <col min="14" max="14" width="10" style="1" bestFit="1" customWidth="1"/>
    <col min="15" max="15" width="10.16015625" style="1" bestFit="1" customWidth="1"/>
    <col min="16" max="16" width="10.16015625" style="1" customWidth="1"/>
    <col min="17" max="21" width="10.66015625" style="1" customWidth="1"/>
    <col min="22" max="22" width="10.83203125" style="1" customWidth="1"/>
    <col min="23" max="25" width="10.66015625" style="1" customWidth="1"/>
    <col min="26" max="26" width="10.16015625" style="1" customWidth="1"/>
    <col min="27" max="27" width="9.33203125" style="1" customWidth="1"/>
    <col min="28" max="28" width="10.16015625" style="1" customWidth="1"/>
    <col min="29" max="16384" width="9.33203125" style="1" customWidth="1"/>
  </cols>
  <sheetData>
    <row r="1" spans="1:42" s="25" customFormat="1" ht="15.75">
      <c r="A1" s="62" t="s">
        <v>0</v>
      </c>
      <c r="B1" s="317" t="s">
        <v>77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58"/>
      <c r="R1" s="58"/>
      <c r="S1" s="58"/>
      <c r="T1" s="58"/>
      <c r="U1" s="58"/>
      <c r="V1" s="58"/>
      <c r="W1" s="58"/>
      <c r="X1" s="58"/>
      <c r="Y1" s="58"/>
      <c r="Z1" s="58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</row>
    <row r="2" spans="2:42" s="30" customFormat="1" ht="12.75">
      <c r="B2" s="31" t="s">
        <v>48</v>
      </c>
      <c r="C2" s="31" t="s">
        <v>49</v>
      </c>
      <c r="D2" s="31" t="s">
        <v>50</v>
      </c>
      <c r="E2" s="31" t="s">
        <v>51</v>
      </c>
      <c r="F2" s="31" t="s">
        <v>52</v>
      </c>
      <c r="G2" s="31" t="s">
        <v>53</v>
      </c>
      <c r="H2" s="31" t="s">
        <v>54</v>
      </c>
      <c r="I2" s="31" t="s">
        <v>55</v>
      </c>
      <c r="J2" s="31" t="s">
        <v>56</v>
      </c>
      <c r="K2" s="31" t="s">
        <v>57</v>
      </c>
      <c r="L2" s="31" t="s">
        <v>58</v>
      </c>
      <c r="M2" s="31" t="s">
        <v>59</v>
      </c>
      <c r="N2" s="31" t="s">
        <v>154</v>
      </c>
      <c r="O2" s="78" t="s">
        <v>155</v>
      </c>
      <c r="P2" s="78" t="s">
        <v>156</v>
      </c>
      <c r="Q2" s="58"/>
      <c r="R2" s="58"/>
      <c r="S2" s="58"/>
      <c r="T2" s="58"/>
      <c r="U2" s="58"/>
      <c r="V2" s="58"/>
      <c r="W2" s="58"/>
      <c r="X2" s="58"/>
      <c r="Y2" s="58"/>
      <c r="Z2" s="58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</row>
    <row r="3" spans="1:26" s="61" customFormat="1" ht="12.75">
      <c r="A3" s="59" t="s">
        <v>39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3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42" s="66" customFormat="1" ht="12.75">
      <c r="A4" s="66" t="s">
        <v>79</v>
      </c>
      <c r="B4" s="170">
        <f>Future!B9</f>
        <v>0</v>
      </c>
      <c r="C4" s="170">
        <f>Future!C9</f>
        <v>0</v>
      </c>
      <c r="D4" s="170">
        <f>Future!D9</f>
        <v>0</v>
      </c>
      <c r="E4" s="170">
        <f>Future!E9</f>
        <v>450</v>
      </c>
      <c r="F4" s="170">
        <f>Future!F9</f>
        <v>465</v>
      </c>
      <c r="G4" s="170">
        <f>Future!G9</f>
        <v>450</v>
      </c>
      <c r="H4" s="170">
        <f>Future!H9</f>
        <v>465</v>
      </c>
      <c r="I4" s="170">
        <f>Future!I9</f>
        <v>465</v>
      </c>
      <c r="J4" s="170">
        <f>Future!J9</f>
        <v>450</v>
      </c>
      <c r="K4" s="170">
        <f>Future!K9</f>
        <v>465</v>
      </c>
      <c r="L4" s="170">
        <f>Future!L9</f>
        <v>0</v>
      </c>
      <c r="M4" s="170">
        <f>Future!M9</f>
        <v>0</v>
      </c>
      <c r="N4" s="12">
        <f>SUM(B4:M4)</f>
        <v>3210</v>
      </c>
      <c r="O4" s="12">
        <f>Future!O9</f>
        <v>3210</v>
      </c>
      <c r="P4" s="12">
        <f>Future!P9</f>
        <v>3210</v>
      </c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</row>
    <row r="5" spans="1:42" s="53" customFormat="1" ht="12.75">
      <c r="A5" s="68" t="s">
        <v>80</v>
      </c>
      <c r="B5" s="170">
        <f>Future!B10</f>
        <v>0</v>
      </c>
      <c r="C5" s="170">
        <f>Future!C10</f>
        <v>0</v>
      </c>
      <c r="D5" s="170">
        <f>Future!D10</f>
        <v>0</v>
      </c>
      <c r="E5" s="170">
        <f>Future!E10</f>
        <v>61.61</v>
      </c>
      <c r="F5" s="170">
        <f>Future!F10</f>
        <v>158.62</v>
      </c>
      <c r="G5" s="170">
        <f>Future!G10</f>
        <v>195.3</v>
      </c>
      <c r="H5" s="170">
        <f>Future!H10</f>
        <v>380.92</v>
      </c>
      <c r="I5" s="170">
        <f>Future!I10</f>
        <v>380.92</v>
      </c>
      <c r="J5" s="170">
        <f>Future!J10</f>
        <v>301.79</v>
      </c>
      <c r="K5" s="170">
        <f>Future!K10</f>
        <v>250.92</v>
      </c>
      <c r="L5" s="170">
        <f>Future!L10</f>
        <v>0</v>
      </c>
      <c r="M5" s="170">
        <f>Future!M10</f>
        <v>0</v>
      </c>
      <c r="N5" s="12">
        <f>SUM(B5:M5)</f>
        <v>1730.0800000000002</v>
      </c>
      <c r="O5" s="12">
        <f>Future!O10</f>
        <v>1781.9824</v>
      </c>
      <c r="P5" s="12">
        <f>Future!P10</f>
        <v>1835.441872</v>
      </c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</row>
    <row r="6" spans="1:42" s="53" customFormat="1" ht="12">
      <c r="A6" s="68" t="s">
        <v>81</v>
      </c>
      <c r="B6" s="69">
        <f>Future!B11</f>
        <v>0</v>
      </c>
      <c r="C6" s="69">
        <f>Future!C11</f>
        <v>0</v>
      </c>
      <c r="D6" s="69">
        <f>Future!D11</f>
        <v>0</v>
      </c>
      <c r="E6" s="69">
        <f>Future!E11</f>
        <v>0.13691111111111112</v>
      </c>
      <c r="F6" s="69">
        <f>Future!F11</f>
        <v>0.3411182795698925</v>
      </c>
      <c r="G6" s="69">
        <f>Future!G11</f>
        <v>0.43400000000000005</v>
      </c>
      <c r="H6" s="69">
        <f>Future!H11</f>
        <v>0.8191827956989247</v>
      </c>
      <c r="I6" s="69">
        <f>Future!I11</f>
        <v>0.8191827956989247</v>
      </c>
      <c r="J6" s="69">
        <f>Future!J11</f>
        <v>0.6706444444444445</v>
      </c>
      <c r="K6" s="69">
        <f>Future!K11</f>
        <v>0.5396129032258065</v>
      </c>
      <c r="L6" s="69">
        <f>Future!L11</f>
        <v>0</v>
      </c>
      <c r="M6" s="69">
        <f>Future!M11</f>
        <v>0</v>
      </c>
      <c r="N6" s="122">
        <f>N5/N4</f>
        <v>0.5389657320872274</v>
      </c>
      <c r="O6" s="122">
        <f>O5/O4</f>
        <v>0.5551347040498442</v>
      </c>
      <c r="P6" s="69">
        <f>P5/P4</f>
        <v>0.5717887451713396</v>
      </c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</row>
    <row r="7" spans="1:42" s="53" customFormat="1" ht="12">
      <c r="A7" s="68" t="s">
        <v>82</v>
      </c>
      <c r="B7" s="70">
        <f>Future!B12</f>
        <v>65</v>
      </c>
      <c r="C7" s="70">
        <f>Future!C12</f>
        <v>68</v>
      </c>
      <c r="D7" s="70">
        <f>Future!D12</f>
        <v>68</v>
      </c>
      <c r="E7" s="70">
        <f>Future!E12</f>
        <v>68</v>
      </c>
      <c r="F7" s="70">
        <f>Future!F12</f>
        <v>72</v>
      </c>
      <c r="G7" s="70">
        <f>Future!G12</f>
        <v>77</v>
      </c>
      <c r="H7" s="70">
        <f>Future!H12</f>
        <v>95</v>
      </c>
      <c r="I7" s="70">
        <f>Future!I12</f>
        <v>95</v>
      </c>
      <c r="J7" s="70">
        <f>Future!J12</f>
        <v>77</v>
      </c>
      <c r="K7" s="70">
        <f>Future!K12</f>
        <v>68</v>
      </c>
      <c r="L7" s="70">
        <f>Future!L12</f>
        <v>68</v>
      </c>
      <c r="M7" s="70">
        <f>Future!M12</f>
        <v>68</v>
      </c>
      <c r="N7" s="70">
        <f>N9/N5</f>
        <v>82.84207088689539</v>
      </c>
      <c r="O7" s="70">
        <f>O9/O5</f>
        <v>85.23</v>
      </c>
      <c r="P7" s="70">
        <f>P9/P5</f>
        <v>86.94999999999999</v>
      </c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</row>
    <row r="8" spans="1:42" s="53" customFormat="1" ht="12">
      <c r="A8" s="68"/>
      <c r="B8" s="67"/>
      <c r="C8" s="67"/>
      <c r="D8" s="67"/>
      <c r="E8" s="70"/>
      <c r="F8" s="70"/>
      <c r="G8" s="70"/>
      <c r="H8" s="70"/>
      <c r="I8" s="70"/>
      <c r="J8" s="70"/>
      <c r="K8" s="70"/>
      <c r="L8" s="67"/>
      <c r="M8" s="67"/>
      <c r="N8" s="70"/>
      <c r="O8" s="70"/>
      <c r="P8" s="7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</row>
    <row r="9" spans="1:42" s="25" customFormat="1" ht="12.75">
      <c r="A9" s="24" t="s">
        <v>41</v>
      </c>
      <c r="B9" s="154">
        <f>Future!B14</f>
        <v>0</v>
      </c>
      <c r="C9" s="154">
        <f>Future!C14</f>
        <v>0</v>
      </c>
      <c r="D9" s="154">
        <f>Future!D14</f>
        <v>0</v>
      </c>
      <c r="E9" s="154">
        <f>Future!E14</f>
        <v>4189.48</v>
      </c>
      <c r="F9" s="154">
        <f>Future!F14</f>
        <v>11420.64</v>
      </c>
      <c r="G9" s="154">
        <f>Future!G14</f>
        <v>15038.1</v>
      </c>
      <c r="H9" s="154">
        <f>Future!H14</f>
        <v>36187.4</v>
      </c>
      <c r="I9" s="154">
        <f>Future!I14</f>
        <v>36187.4</v>
      </c>
      <c r="J9" s="154">
        <f>Future!J14</f>
        <v>23237.83</v>
      </c>
      <c r="K9" s="154">
        <f>Future!K14</f>
        <v>17062.559999999998</v>
      </c>
      <c r="L9" s="154">
        <f>Future!L14</f>
        <v>0</v>
      </c>
      <c r="M9" s="154">
        <f>Future!M14</f>
        <v>0</v>
      </c>
      <c r="N9" s="154">
        <f aca="true" t="shared" si="0" ref="N9:N15">SUM(B9:M9)</f>
        <v>143323.40999999997</v>
      </c>
      <c r="O9" s="133">
        <f>Future!O14</f>
        <v>151878.35995200003</v>
      </c>
      <c r="P9" s="133">
        <f>Future!P14</f>
        <v>159591.6707704</v>
      </c>
      <c r="Q9" s="58"/>
      <c r="R9" s="58"/>
      <c r="S9" s="58"/>
      <c r="T9" s="58"/>
      <c r="U9" s="58"/>
      <c r="V9" s="58"/>
      <c r="W9" s="58"/>
      <c r="X9" s="58"/>
      <c r="Y9" s="58"/>
      <c r="Z9" s="58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</row>
    <row r="10" spans="1:42" s="25" customFormat="1" ht="12.75">
      <c r="A10" s="24" t="s">
        <v>60</v>
      </c>
      <c r="B10" s="154">
        <f>Future!B15</f>
        <v>0</v>
      </c>
      <c r="C10" s="154">
        <f>Future!C15</f>
        <v>0</v>
      </c>
      <c r="D10" s="154">
        <f>Future!D15</f>
        <v>0</v>
      </c>
      <c r="E10" s="154">
        <f>Future!E15</f>
        <v>0</v>
      </c>
      <c r="F10" s="154">
        <f>Future!F15</f>
        <v>2060</v>
      </c>
      <c r="G10" s="154">
        <f>Future!G15</f>
        <v>4200</v>
      </c>
      <c r="H10" s="154">
        <f>Future!H15</f>
        <v>9630</v>
      </c>
      <c r="I10" s="154">
        <f>Future!I15</f>
        <v>9630</v>
      </c>
      <c r="J10" s="154">
        <f>Future!J15</f>
        <v>7210</v>
      </c>
      <c r="K10" s="154">
        <f>Future!K15</f>
        <v>5100</v>
      </c>
      <c r="L10" s="154">
        <f>Future!L15</f>
        <v>0</v>
      </c>
      <c r="M10" s="154">
        <f>Future!M15</f>
        <v>0</v>
      </c>
      <c r="N10" s="154">
        <f t="shared" si="0"/>
        <v>37830</v>
      </c>
      <c r="O10" s="133">
        <f>Future!O15</f>
        <v>38964.9</v>
      </c>
      <c r="P10" s="133">
        <f>Future!P15</f>
        <v>40133.847</v>
      </c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</row>
    <row r="11" spans="1:42" s="25" customFormat="1" ht="12.75">
      <c r="A11" s="24" t="s">
        <v>1</v>
      </c>
      <c r="B11" s="154">
        <f>Future!B16</f>
        <v>0</v>
      </c>
      <c r="C11" s="154">
        <f>Future!C16</f>
        <v>0</v>
      </c>
      <c r="D11" s="154">
        <f>Future!D16</f>
        <v>0</v>
      </c>
      <c r="E11" s="154">
        <f>Future!E16</f>
        <v>505</v>
      </c>
      <c r="F11" s="154">
        <f>Future!F16</f>
        <v>3090</v>
      </c>
      <c r="G11" s="154">
        <f>Future!G16</f>
        <v>3150</v>
      </c>
      <c r="H11" s="154">
        <f>Future!H16</f>
        <v>5350</v>
      </c>
      <c r="I11" s="154">
        <f>Future!I16</f>
        <v>5350</v>
      </c>
      <c r="J11" s="154">
        <f>Future!J16</f>
        <v>4120</v>
      </c>
      <c r="K11" s="154">
        <f>Future!K16</f>
        <v>3060</v>
      </c>
      <c r="L11" s="154">
        <f>Future!L16</f>
        <v>0</v>
      </c>
      <c r="M11" s="154">
        <f>Future!M16</f>
        <v>0</v>
      </c>
      <c r="N11" s="154">
        <f t="shared" si="0"/>
        <v>24625</v>
      </c>
      <c r="O11" s="133">
        <f>Future!O16</f>
        <v>25363.75</v>
      </c>
      <c r="P11" s="133">
        <f>Future!P16</f>
        <v>26124.6625</v>
      </c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</row>
    <row r="12" spans="1:42" s="25" customFormat="1" ht="12.75">
      <c r="A12" s="24" t="s">
        <v>61</v>
      </c>
      <c r="B12" s="154">
        <f>Future!B17</f>
        <v>0</v>
      </c>
      <c r="C12" s="154">
        <f>Future!C17</f>
        <v>0</v>
      </c>
      <c r="D12" s="154">
        <f>Future!D17</f>
        <v>0</v>
      </c>
      <c r="E12" s="154">
        <f>Future!E17</f>
        <v>4040</v>
      </c>
      <c r="F12" s="154">
        <f>Future!F17</f>
        <v>2060</v>
      </c>
      <c r="G12" s="154">
        <f>Future!G17</f>
        <v>4200</v>
      </c>
      <c r="H12" s="154">
        <f>Future!H17</f>
        <v>2140</v>
      </c>
      <c r="I12" s="154">
        <f>Future!I17</f>
        <v>5350</v>
      </c>
      <c r="J12" s="154">
        <f>Future!J17</f>
        <v>515</v>
      </c>
      <c r="K12" s="154">
        <f>Future!K17</f>
        <v>255</v>
      </c>
      <c r="L12" s="154">
        <f>Future!L17</f>
        <v>0</v>
      </c>
      <c r="M12" s="154">
        <f>Future!M17</f>
        <v>0</v>
      </c>
      <c r="N12" s="154">
        <f t="shared" si="0"/>
        <v>18560</v>
      </c>
      <c r="O12" s="133">
        <f>Future!O17</f>
        <v>19116.8</v>
      </c>
      <c r="P12" s="133">
        <f>Future!P17</f>
        <v>19690.304</v>
      </c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</row>
    <row r="13" spans="1:42" s="25" customFormat="1" ht="12.75">
      <c r="A13" s="24" t="s">
        <v>2</v>
      </c>
      <c r="B13" s="154">
        <f>Future!B18</f>
        <v>0</v>
      </c>
      <c r="C13" s="154">
        <f>Future!C18</f>
        <v>0</v>
      </c>
      <c r="D13" s="154">
        <f>Future!D18</f>
        <v>0</v>
      </c>
      <c r="E13" s="154">
        <f>Future!E18</f>
        <v>0</v>
      </c>
      <c r="F13" s="154">
        <f>Future!F18</f>
        <v>0</v>
      </c>
      <c r="G13" s="154">
        <f>Future!G18</f>
        <v>0</v>
      </c>
      <c r="H13" s="154">
        <f>Future!H18</f>
        <v>0</v>
      </c>
      <c r="I13" s="154">
        <f>Future!I18</f>
        <v>0</v>
      </c>
      <c r="J13" s="154">
        <f>Future!J18</f>
        <v>0</v>
      </c>
      <c r="K13" s="154">
        <f>Future!K18</f>
        <v>0</v>
      </c>
      <c r="L13" s="154">
        <f>Future!L18</f>
        <v>0</v>
      </c>
      <c r="M13" s="154">
        <f>Future!M18</f>
        <v>0</v>
      </c>
      <c r="N13" s="154">
        <f t="shared" si="0"/>
        <v>0</v>
      </c>
      <c r="O13" s="133">
        <f>Future!O18</f>
        <v>0</v>
      </c>
      <c r="P13" s="133">
        <f>Future!P18</f>
        <v>0</v>
      </c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</row>
    <row r="14" spans="1:42" s="25" customFormat="1" ht="12.75">
      <c r="A14" s="52" t="s">
        <v>200</v>
      </c>
      <c r="B14" s="155">
        <f>'New 1'!B12</f>
        <v>0</v>
      </c>
      <c r="C14" s="155">
        <f>'New 1'!C12</f>
        <v>0</v>
      </c>
      <c r="D14" s="155">
        <f>'New 1'!D12</f>
        <v>0</v>
      </c>
      <c r="E14" s="155">
        <f>'New 1'!E12</f>
        <v>7945</v>
      </c>
      <c r="F14" s="155">
        <f>'New 1'!F12</f>
        <v>15890</v>
      </c>
      <c r="G14" s="155">
        <f>'New 1'!G12</f>
        <v>18160</v>
      </c>
      <c r="H14" s="155">
        <f>'New 1'!H12</f>
        <v>22700</v>
      </c>
      <c r="I14" s="155">
        <f>'New 1'!I12</f>
        <v>23835</v>
      </c>
      <c r="J14" s="155">
        <f>'New 1'!J12</f>
        <v>14755</v>
      </c>
      <c r="K14" s="155">
        <f>'New 1'!K12</f>
        <v>10215</v>
      </c>
      <c r="L14" s="155">
        <f>'New 1'!L12</f>
        <v>0</v>
      </c>
      <c r="M14" s="155">
        <f>'New 1'!M12</f>
        <v>0</v>
      </c>
      <c r="N14" s="154">
        <f t="shared" si="0"/>
        <v>113500</v>
      </c>
      <c r="O14" s="133">
        <f>'New 1'!O12</f>
        <v>118040</v>
      </c>
      <c r="P14" s="133">
        <f>'New 1'!P12</f>
        <v>121581.2</v>
      </c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</row>
    <row r="15" spans="1:42" s="25" customFormat="1" ht="12.75">
      <c r="A15" s="52" t="s">
        <v>199</v>
      </c>
      <c r="B15" s="155">
        <f>'New 2'!B12</f>
        <v>0</v>
      </c>
      <c r="C15" s="155">
        <f>'New 2'!C12</f>
        <v>0</v>
      </c>
      <c r="D15" s="155">
        <f>'New 2'!D12</f>
        <v>0</v>
      </c>
      <c r="E15" s="155">
        <f>'New 2'!E12</f>
        <v>0</v>
      </c>
      <c r="F15" s="155">
        <f>'New 2'!F12</f>
        <v>0</v>
      </c>
      <c r="G15" s="155">
        <f>'New 2'!G12</f>
        <v>0</v>
      </c>
      <c r="H15" s="155">
        <f>'New 2'!H12</f>
        <v>0</v>
      </c>
      <c r="I15" s="155">
        <f>'New 2'!I12</f>
        <v>0</v>
      </c>
      <c r="J15" s="155">
        <f>'New 2'!J12</f>
        <v>0</v>
      </c>
      <c r="K15" s="155">
        <f>'New 2'!K12</f>
        <v>0</v>
      </c>
      <c r="L15" s="155">
        <f>'New 2'!L12</f>
        <v>0</v>
      </c>
      <c r="M15" s="155">
        <f>'New 2'!M12</f>
        <v>0</v>
      </c>
      <c r="N15" s="154">
        <f t="shared" si="0"/>
        <v>0</v>
      </c>
      <c r="O15" s="155">
        <f>'New 2'!O12</f>
        <v>0</v>
      </c>
      <c r="P15" s="155">
        <f>'New 2'!P12</f>
        <v>0</v>
      </c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</row>
    <row r="16" spans="1:42" s="80" customFormat="1" ht="12.75">
      <c r="A16" s="111" t="s">
        <v>3</v>
      </c>
      <c r="B16" s="163">
        <f>SUM(B9:B15)</f>
        <v>0</v>
      </c>
      <c r="C16" s="163">
        <f aca="true" t="shared" si="1" ref="C16:P16">SUM(C9:C15)</f>
        <v>0</v>
      </c>
      <c r="D16" s="163">
        <f t="shared" si="1"/>
        <v>0</v>
      </c>
      <c r="E16" s="163">
        <f t="shared" si="1"/>
        <v>16679.48</v>
      </c>
      <c r="F16" s="163">
        <f t="shared" si="1"/>
        <v>34520.64</v>
      </c>
      <c r="G16" s="163">
        <f t="shared" si="1"/>
        <v>44748.1</v>
      </c>
      <c r="H16" s="163">
        <f t="shared" si="1"/>
        <v>76007.4</v>
      </c>
      <c r="I16" s="163">
        <f t="shared" si="1"/>
        <v>80352.4</v>
      </c>
      <c r="J16" s="163">
        <f t="shared" si="1"/>
        <v>49837.83</v>
      </c>
      <c r="K16" s="163">
        <f t="shared" si="1"/>
        <v>35692.56</v>
      </c>
      <c r="L16" s="163">
        <f t="shared" si="1"/>
        <v>0</v>
      </c>
      <c r="M16" s="163">
        <f t="shared" si="1"/>
        <v>0</v>
      </c>
      <c r="N16" s="163">
        <f t="shared" si="1"/>
        <v>337838.41</v>
      </c>
      <c r="O16" s="163">
        <f t="shared" si="1"/>
        <v>353363.80995200004</v>
      </c>
      <c r="P16" s="163">
        <f t="shared" si="1"/>
        <v>367121.68427040003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</row>
    <row r="17" spans="1:42" s="25" customFormat="1" ht="12.75">
      <c r="A17" s="26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1"/>
      <c r="P17" s="21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</row>
    <row r="18" spans="1:42" s="25" customFormat="1" ht="12.75">
      <c r="A18" s="26" t="s">
        <v>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"/>
      <c r="P18" s="21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</row>
    <row r="19" spans="1:42" s="25" customFormat="1" ht="12.75">
      <c r="A19" s="24" t="s">
        <v>164</v>
      </c>
      <c r="B19" s="154">
        <f>Future!B22</f>
        <v>0</v>
      </c>
      <c r="C19" s="154">
        <f>Future!C22</f>
        <v>0</v>
      </c>
      <c r="D19" s="154">
        <f>Future!D22</f>
        <v>0</v>
      </c>
      <c r="E19" s="154">
        <f>Future!E22</f>
        <v>0</v>
      </c>
      <c r="F19" s="154">
        <f>Future!F22</f>
        <v>1184.5</v>
      </c>
      <c r="G19" s="154">
        <f>Future!G22</f>
        <v>2257.5</v>
      </c>
      <c r="H19" s="154">
        <f>Future!H22</f>
        <v>5403.5</v>
      </c>
      <c r="I19" s="154">
        <f>Future!I22</f>
        <v>5403.5</v>
      </c>
      <c r="J19" s="154">
        <f>Future!J22</f>
        <v>3347.5</v>
      </c>
      <c r="K19" s="154">
        <f>Future!K22</f>
        <v>2906.9999999999995</v>
      </c>
      <c r="L19" s="154">
        <f>Future!L22</f>
        <v>0</v>
      </c>
      <c r="M19" s="154">
        <f>Future!M22</f>
        <v>0</v>
      </c>
      <c r="N19" s="156">
        <f aca="true" t="shared" si="2" ref="N19:N25">SUM(B19:M19)</f>
        <v>20503.5</v>
      </c>
      <c r="O19" s="133">
        <f>Future!O22</f>
        <v>21118.605</v>
      </c>
      <c r="P19" s="133">
        <f>Future!P22</f>
        <v>21752.16315</v>
      </c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</row>
    <row r="20" spans="1:42" s="25" customFormat="1" ht="12.75">
      <c r="A20" s="24" t="s">
        <v>165</v>
      </c>
      <c r="B20" s="154">
        <f>Future!B23</f>
        <v>0</v>
      </c>
      <c r="C20" s="154">
        <f>Future!C23</f>
        <v>0</v>
      </c>
      <c r="D20" s="154">
        <f>Future!D23</f>
        <v>0</v>
      </c>
      <c r="E20" s="154">
        <f>Future!E23</f>
        <v>151.5</v>
      </c>
      <c r="F20" s="154">
        <f>Future!F23</f>
        <v>309</v>
      </c>
      <c r="G20" s="154">
        <f>Future!G23</f>
        <v>315</v>
      </c>
      <c r="H20" s="154">
        <f>Future!H23</f>
        <v>963</v>
      </c>
      <c r="I20" s="154">
        <f>Future!I23</f>
        <v>963</v>
      </c>
      <c r="J20" s="154">
        <f>Future!J23</f>
        <v>618</v>
      </c>
      <c r="K20" s="154">
        <f>Future!K23</f>
        <v>306</v>
      </c>
      <c r="L20" s="154">
        <f>Future!L23</f>
        <v>0</v>
      </c>
      <c r="M20" s="154">
        <f>Future!M23</f>
        <v>0</v>
      </c>
      <c r="N20" s="156">
        <f t="shared" si="2"/>
        <v>3625.5</v>
      </c>
      <c r="O20" s="133">
        <f>Future!O23</f>
        <v>3734.265</v>
      </c>
      <c r="P20" s="133">
        <f>Future!P23</f>
        <v>3846.29295</v>
      </c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</row>
    <row r="21" spans="1:42" s="25" customFormat="1" ht="12.75">
      <c r="A21" s="24" t="s">
        <v>75</v>
      </c>
      <c r="B21" s="154">
        <f>Future!B24</f>
        <v>0</v>
      </c>
      <c r="C21" s="154">
        <f>Future!C24</f>
        <v>0</v>
      </c>
      <c r="D21" s="154">
        <f>Future!D24</f>
        <v>0</v>
      </c>
      <c r="E21" s="154">
        <f>Future!E24</f>
        <v>1130.3444705882353</v>
      </c>
      <c r="F21" s="154">
        <f>Future!F24</f>
        <v>1282.2263999999998</v>
      </c>
      <c r="G21" s="154">
        <f>Future!G24</f>
        <v>1384.796875</v>
      </c>
      <c r="H21" s="154">
        <f>Future!H24</f>
        <v>1699.173375</v>
      </c>
      <c r="I21" s="154">
        <f>Future!I24</f>
        <v>1799.3294693877551</v>
      </c>
      <c r="J21" s="154">
        <f>Future!J24</f>
        <v>1535.5927229508197</v>
      </c>
      <c r="K21" s="154">
        <f>Future!K24</f>
        <v>1431.3235955056177</v>
      </c>
      <c r="L21" s="154">
        <f>Future!L24</f>
        <v>0</v>
      </c>
      <c r="M21" s="154">
        <f>Future!M24</f>
        <v>0</v>
      </c>
      <c r="N21" s="156">
        <f t="shared" si="2"/>
        <v>10262.786908432428</v>
      </c>
      <c r="O21" s="133">
        <f>Future!O24</f>
        <v>10570.6705156854</v>
      </c>
      <c r="P21" s="133">
        <f>Future!P24</f>
        <v>11029.600268726115</v>
      </c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</row>
    <row r="22" spans="1:42" s="25" customFormat="1" ht="12.75">
      <c r="A22" s="35" t="s">
        <v>62</v>
      </c>
      <c r="B22" s="154">
        <f>Future!B25</f>
        <v>0</v>
      </c>
      <c r="C22" s="154">
        <f>Future!C25</f>
        <v>0</v>
      </c>
      <c r="D22" s="154">
        <f>Future!D25</f>
        <v>0</v>
      </c>
      <c r="E22" s="154">
        <f>Future!E25</f>
        <v>1010</v>
      </c>
      <c r="F22" s="154">
        <f>Future!F25</f>
        <v>515</v>
      </c>
      <c r="G22" s="154">
        <f>Future!G25</f>
        <v>1050</v>
      </c>
      <c r="H22" s="154">
        <f>Future!H25</f>
        <v>535</v>
      </c>
      <c r="I22" s="154">
        <f>Future!I25</f>
        <v>1337.5</v>
      </c>
      <c r="J22" s="154">
        <f>Future!J25</f>
        <v>206</v>
      </c>
      <c r="K22" s="154">
        <f>Future!K25</f>
        <v>0</v>
      </c>
      <c r="L22" s="154">
        <f>Future!L25</f>
        <v>0</v>
      </c>
      <c r="M22" s="154">
        <f>Future!M25</f>
        <v>0</v>
      </c>
      <c r="N22" s="156">
        <f t="shared" si="2"/>
        <v>4653.5</v>
      </c>
      <c r="O22" s="133">
        <f>Future!O25</f>
        <v>4793.105</v>
      </c>
      <c r="P22" s="133">
        <f>Future!P25</f>
        <v>4936.89815</v>
      </c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</row>
    <row r="23" spans="1:42" s="25" customFormat="1" ht="12.75">
      <c r="A23" s="35" t="s">
        <v>5</v>
      </c>
      <c r="B23" s="154">
        <f>Future!B26</f>
        <v>0</v>
      </c>
      <c r="C23" s="154">
        <f>Future!C26</f>
        <v>0</v>
      </c>
      <c r="D23" s="154">
        <f>Future!D26</f>
        <v>0</v>
      </c>
      <c r="E23" s="154">
        <f>Future!E26</f>
        <v>2727</v>
      </c>
      <c r="F23" s="154">
        <f>Future!F26</f>
        <v>4727.7</v>
      </c>
      <c r="G23" s="154">
        <f>Future!G26</f>
        <v>7087.5</v>
      </c>
      <c r="H23" s="154">
        <f>Future!H26</f>
        <v>15311.7</v>
      </c>
      <c r="I23" s="154">
        <f>Future!I26</f>
        <v>16178.4</v>
      </c>
      <c r="J23" s="154">
        <f>Future!J26</f>
        <v>6952.5</v>
      </c>
      <c r="K23" s="154">
        <f>Future!K26</f>
        <v>555.9</v>
      </c>
      <c r="L23" s="154">
        <f>Future!L26</f>
        <v>0</v>
      </c>
      <c r="M23" s="154">
        <f>Future!M26</f>
        <v>0</v>
      </c>
      <c r="N23" s="155">
        <f t="shared" si="2"/>
        <v>53540.700000000004</v>
      </c>
      <c r="O23" s="133">
        <f>Future!O26</f>
        <v>56162.48020790131</v>
      </c>
      <c r="P23" s="133">
        <f>Future!P26</f>
        <v>58600.796030319594</v>
      </c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</row>
    <row r="24" spans="1:42" s="25" customFormat="1" ht="12.75">
      <c r="A24" s="52" t="s">
        <v>200</v>
      </c>
      <c r="B24" s="154">
        <f>'New 1'!B21</f>
        <v>0</v>
      </c>
      <c r="C24" s="154">
        <f>'New 1'!C21</f>
        <v>0</v>
      </c>
      <c r="D24" s="154">
        <f>'New 1'!D21</f>
        <v>0</v>
      </c>
      <c r="E24" s="154">
        <f>'New 1'!E21</f>
        <v>3111.0800000000004</v>
      </c>
      <c r="F24" s="154">
        <f>'New 1'!F21</f>
        <v>6222.160000000001</v>
      </c>
      <c r="G24" s="154">
        <f>'New 1'!G21</f>
        <v>7111.040000000001</v>
      </c>
      <c r="H24" s="154">
        <f>'New 1'!H21</f>
        <v>8888.8</v>
      </c>
      <c r="I24" s="154">
        <f>'New 1'!I21</f>
        <v>9333.24</v>
      </c>
      <c r="J24" s="154">
        <f>'New 1'!J21</f>
        <v>5777.720000000001</v>
      </c>
      <c r="K24" s="154">
        <f>'New 1'!K21</f>
        <v>3999.9599999999996</v>
      </c>
      <c r="L24" s="154">
        <f>'New 1'!L21</f>
        <v>0</v>
      </c>
      <c r="M24" s="154">
        <f>'New 1'!M21</f>
        <v>0</v>
      </c>
      <c r="N24" s="155">
        <f t="shared" si="2"/>
        <v>44444</v>
      </c>
      <c r="O24" s="133">
        <f>'New 1'!O21</f>
        <v>46221.759999999995</v>
      </c>
      <c r="P24" s="133">
        <f>'New 1'!P21</f>
        <v>48070.630399999995</v>
      </c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</row>
    <row r="25" spans="1:42" s="25" customFormat="1" ht="12.75">
      <c r="A25" s="52" t="s">
        <v>199</v>
      </c>
      <c r="B25" s="154">
        <f>'New 2'!B21</f>
        <v>0</v>
      </c>
      <c r="C25" s="154">
        <f>'New 2'!C21</f>
        <v>0</v>
      </c>
      <c r="D25" s="154">
        <f>'New 2'!D21</f>
        <v>0</v>
      </c>
      <c r="E25" s="154">
        <f>'New 2'!E21</f>
        <v>0</v>
      </c>
      <c r="F25" s="154">
        <f>'New 2'!F21</f>
        <v>0</v>
      </c>
      <c r="G25" s="154">
        <f>'New 2'!G21</f>
        <v>0</v>
      </c>
      <c r="H25" s="154">
        <f>'New 2'!H21</f>
        <v>0</v>
      </c>
      <c r="I25" s="154">
        <f>'New 2'!I21</f>
        <v>0</v>
      </c>
      <c r="J25" s="154">
        <f>'New 2'!J21</f>
        <v>0</v>
      </c>
      <c r="K25" s="154">
        <f>'New 2'!K21</f>
        <v>0</v>
      </c>
      <c r="L25" s="154">
        <f>'New 2'!L21</f>
        <v>0</v>
      </c>
      <c r="M25" s="154">
        <f>'New 2'!M21</f>
        <v>0</v>
      </c>
      <c r="N25" s="155">
        <f t="shared" si="2"/>
        <v>0</v>
      </c>
      <c r="O25" s="154">
        <f>'New 2'!O21</f>
        <v>0</v>
      </c>
      <c r="P25" s="154">
        <f>'New 2'!P21</f>
        <v>0</v>
      </c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</row>
    <row r="26" spans="1:42" s="80" customFormat="1" ht="12.75">
      <c r="A26" s="79" t="s">
        <v>6</v>
      </c>
      <c r="B26" s="163">
        <f>SUM(B19:B25)</f>
        <v>0</v>
      </c>
      <c r="C26" s="163">
        <f aca="true" t="shared" si="3" ref="C26:P26">SUM(C19:C25)</f>
        <v>0</v>
      </c>
      <c r="D26" s="163">
        <f t="shared" si="3"/>
        <v>0</v>
      </c>
      <c r="E26" s="163">
        <f t="shared" si="3"/>
        <v>8129.924470588236</v>
      </c>
      <c r="F26" s="163">
        <f t="shared" si="3"/>
        <v>14240.5864</v>
      </c>
      <c r="G26" s="163">
        <f t="shared" si="3"/>
        <v>19205.836875</v>
      </c>
      <c r="H26" s="163">
        <f t="shared" si="3"/>
        <v>32801.173375</v>
      </c>
      <c r="I26" s="163">
        <f t="shared" si="3"/>
        <v>35014.96946938775</v>
      </c>
      <c r="J26" s="163">
        <f t="shared" si="3"/>
        <v>18437.31272295082</v>
      </c>
      <c r="K26" s="163">
        <f t="shared" si="3"/>
        <v>9200.183595505616</v>
      </c>
      <c r="L26" s="163">
        <f t="shared" si="3"/>
        <v>0</v>
      </c>
      <c r="M26" s="163">
        <f t="shared" si="3"/>
        <v>0</v>
      </c>
      <c r="N26" s="163">
        <f t="shared" si="3"/>
        <v>137029.98690843245</v>
      </c>
      <c r="O26" s="163">
        <f t="shared" si="3"/>
        <v>142600.88572358672</v>
      </c>
      <c r="P26" s="163">
        <f t="shared" si="3"/>
        <v>148236.3809490457</v>
      </c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</row>
    <row r="27" spans="1:42" s="38" customFormat="1" ht="12.75">
      <c r="A27" s="36" t="s">
        <v>7</v>
      </c>
      <c r="B27" s="165">
        <f>IF(B16=0,0,B26/B16)</f>
        <v>0</v>
      </c>
      <c r="C27" s="165">
        <f aca="true" t="shared" si="4" ref="C27:P27">IF(C16=0,0,C26/C16)</f>
        <v>0</v>
      </c>
      <c r="D27" s="165">
        <f t="shared" si="4"/>
        <v>0</v>
      </c>
      <c r="E27" s="165">
        <f t="shared" si="4"/>
        <v>0.48742073917101947</v>
      </c>
      <c r="F27" s="165">
        <f t="shared" si="4"/>
        <v>0.4125238234285344</v>
      </c>
      <c r="G27" s="165">
        <f t="shared" si="4"/>
        <v>0.4291989352620558</v>
      </c>
      <c r="H27" s="165">
        <f t="shared" si="4"/>
        <v>0.43155236694058735</v>
      </c>
      <c r="I27" s="165">
        <f t="shared" si="4"/>
        <v>0.435767562255611</v>
      </c>
      <c r="J27" s="165">
        <f t="shared" si="4"/>
        <v>0.36994613776223445</v>
      </c>
      <c r="K27" s="165">
        <f t="shared" si="4"/>
        <v>0.25776194241896955</v>
      </c>
      <c r="L27" s="165">
        <f t="shared" si="4"/>
        <v>0</v>
      </c>
      <c r="M27" s="165">
        <f t="shared" si="4"/>
        <v>0</v>
      </c>
      <c r="N27" s="165">
        <f t="shared" si="4"/>
        <v>0.4056080743111254</v>
      </c>
      <c r="O27" s="165">
        <f t="shared" si="4"/>
        <v>0.4035526041644084</v>
      </c>
      <c r="P27" s="165">
        <f t="shared" si="4"/>
        <v>0.40377996533668</v>
      </c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</row>
    <row r="28" spans="1:42" s="38" customFormat="1" ht="12.75">
      <c r="A28" s="36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"/>
      <c r="P28" s="21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</row>
    <row r="29" spans="1:42" s="38" customFormat="1" ht="12.75">
      <c r="A29" s="40" t="s">
        <v>8</v>
      </c>
      <c r="B29" s="157">
        <f aca="true" t="shared" si="5" ref="B29:P29">B16-B26</f>
        <v>0</v>
      </c>
      <c r="C29" s="157">
        <f t="shared" si="5"/>
        <v>0</v>
      </c>
      <c r="D29" s="157">
        <f t="shared" si="5"/>
        <v>0</v>
      </c>
      <c r="E29" s="157">
        <f t="shared" si="5"/>
        <v>8549.555529411764</v>
      </c>
      <c r="F29" s="157">
        <f t="shared" si="5"/>
        <v>20280.0536</v>
      </c>
      <c r="G29" s="157">
        <f t="shared" si="5"/>
        <v>25542.263124999998</v>
      </c>
      <c r="H29" s="157">
        <f t="shared" si="5"/>
        <v>43206.226624999996</v>
      </c>
      <c r="I29" s="157">
        <f t="shared" si="5"/>
        <v>45337.43053061224</v>
      </c>
      <c r="J29" s="157">
        <f t="shared" si="5"/>
        <v>31400.51727704918</v>
      </c>
      <c r="K29" s="157">
        <f t="shared" si="5"/>
        <v>26492.376404494382</v>
      </c>
      <c r="L29" s="157">
        <f t="shared" si="5"/>
        <v>0</v>
      </c>
      <c r="M29" s="157">
        <f t="shared" si="5"/>
        <v>0</v>
      </c>
      <c r="N29" s="157">
        <f t="shared" si="5"/>
        <v>200808.42309156753</v>
      </c>
      <c r="O29" s="157">
        <f t="shared" si="5"/>
        <v>210762.92422841332</v>
      </c>
      <c r="P29" s="157">
        <f t="shared" si="5"/>
        <v>218885.30332135432</v>
      </c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</row>
    <row r="30" spans="1:42" s="25" customFormat="1" ht="12.75">
      <c r="A30" s="24" t="s">
        <v>9</v>
      </c>
      <c r="B30" s="168">
        <f>IF(B16=0,0,B29/B16)</f>
        <v>0</v>
      </c>
      <c r="C30" s="168">
        <f aca="true" t="shared" si="6" ref="C30:P30">IF(C16=0,0,C29/C16)</f>
        <v>0</v>
      </c>
      <c r="D30" s="168">
        <f t="shared" si="6"/>
        <v>0</v>
      </c>
      <c r="E30" s="168">
        <f t="shared" si="6"/>
        <v>0.5125792608289805</v>
      </c>
      <c r="F30" s="168">
        <f t="shared" si="6"/>
        <v>0.5874761765714657</v>
      </c>
      <c r="G30" s="168">
        <f t="shared" si="6"/>
        <v>0.5708010647379441</v>
      </c>
      <c r="H30" s="168">
        <f t="shared" si="6"/>
        <v>0.5684476330594126</v>
      </c>
      <c r="I30" s="168">
        <f t="shared" si="6"/>
        <v>0.564232437744389</v>
      </c>
      <c r="J30" s="168">
        <f t="shared" si="6"/>
        <v>0.6300538622377656</v>
      </c>
      <c r="K30" s="168">
        <f t="shared" si="6"/>
        <v>0.7422380575810305</v>
      </c>
      <c r="L30" s="168">
        <f t="shared" si="6"/>
        <v>0</v>
      </c>
      <c r="M30" s="168">
        <f t="shared" si="6"/>
        <v>0</v>
      </c>
      <c r="N30" s="168">
        <f t="shared" si="6"/>
        <v>0.5943919256888746</v>
      </c>
      <c r="O30" s="168">
        <f t="shared" si="6"/>
        <v>0.5964473958355916</v>
      </c>
      <c r="P30" s="168">
        <f t="shared" si="6"/>
        <v>0.59622003466332</v>
      </c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</row>
    <row r="31" spans="1:42" s="25" customFormat="1" ht="12.75">
      <c r="A31" s="24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</row>
    <row r="32" spans="1:42" s="25" customFormat="1" ht="12.75">
      <c r="A32" s="26" t="s">
        <v>65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"/>
      <c r="P32" s="21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</row>
    <row r="33" spans="1:42" s="42" customFormat="1" ht="12.75">
      <c r="A33" s="24" t="s">
        <v>66</v>
      </c>
      <c r="B33" s="154">
        <f>Future!B34</f>
        <v>0</v>
      </c>
      <c r="C33" s="154">
        <f>Future!C34</f>
        <v>0</v>
      </c>
      <c r="D33" s="154">
        <f>Future!D34</f>
        <v>0</v>
      </c>
      <c r="E33" s="154">
        <f>Future!E34</f>
        <v>1100.9</v>
      </c>
      <c r="F33" s="154">
        <f>Future!F34</f>
        <v>1390.5</v>
      </c>
      <c r="G33" s="154">
        <f>Future!G34</f>
        <v>1727.25</v>
      </c>
      <c r="H33" s="154">
        <f>Future!H34</f>
        <v>2867.6</v>
      </c>
      <c r="I33" s="154">
        <f>Future!I34</f>
        <v>2987.44</v>
      </c>
      <c r="J33" s="154">
        <f>Future!J34</f>
        <v>2018.8</v>
      </c>
      <c r="K33" s="154">
        <f>Future!K34</f>
        <v>1677.9</v>
      </c>
      <c r="L33" s="154">
        <f>Future!L34</f>
        <v>0</v>
      </c>
      <c r="M33" s="154">
        <f>Future!M34</f>
        <v>0</v>
      </c>
      <c r="N33" s="154">
        <f aca="true" t="shared" si="7" ref="N33:N51">SUM(B33:M33)</f>
        <v>13770.39</v>
      </c>
      <c r="O33" s="146">
        <f>Future!O34</f>
        <v>14183.501699999999</v>
      </c>
      <c r="P33" s="146">
        <f>Future!P34</f>
        <v>14609.006750999999</v>
      </c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</row>
    <row r="34" spans="1:42" s="25" customFormat="1" ht="12.75">
      <c r="A34" s="24" t="s">
        <v>67</v>
      </c>
      <c r="B34" s="154">
        <f>Future!B35</f>
        <v>0</v>
      </c>
      <c r="C34" s="154">
        <f>Future!C35</f>
        <v>0</v>
      </c>
      <c r="D34" s="154">
        <f>Future!D35</f>
        <v>0</v>
      </c>
      <c r="E34" s="154">
        <f>Future!E35</f>
        <v>414.1</v>
      </c>
      <c r="F34" s="154">
        <f>Future!F35</f>
        <v>717.91</v>
      </c>
      <c r="G34" s="154">
        <f>Future!G35</f>
        <v>1076.25</v>
      </c>
      <c r="H34" s="154">
        <f>Future!H35</f>
        <v>2327.25</v>
      </c>
      <c r="I34" s="154">
        <f>Future!I35</f>
        <v>2455.65</v>
      </c>
      <c r="J34" s="154">
        <f>Future!J35</f>
        <v>1416.25</v>
      </c>
      <c r="K34" s="154">
        <f>Future!K35</f>
        <v>1045.5</v>
      </c>
      <c r="L34" s="154">
        <f>Future!L35</f>
        <v>0</v>
      </c>
      <c r="M34" s="154">
        <f>Future!M35</f>
        <v>0</v>
      </c>
      <c r="N34" s="154">
        <f t="shared" si="7"/>
        <v>9452.91</v>
      </c>
      <c r="O34" s="146">
        <f>Future!O35</f>
        <v>9736.497299999999</v>
      </c>
      <c r="P34" s="146">
        <f>Future!P35</f>
        <v>10028.592218999998</v>
      </c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</row>
    <row r="35" spans="1:42" s="25" customFormat="1" ht="12.75">
      <c r="A35" s="35" t="s">
        <v>68</v>
      </c>
      <c r="B35" s="154">
        <f>Future!B36</f>
        <v>0</v>
      </c>
      <c r="C35" s="154">
        <f>Future!C36</f>
        <v>0</v>
      </c>
      <c r="D35" s="154">
        <f>Future!D36</f>
        <v>0</v>
      </c>
      <c r="E35" s="154">
        <f>Future!E36</f>
        <v>303</v>
      </c>
      <c r="F35" s="154">
        <f>Future!F36</f>
        <v>525.3</v>
      </c>
      <c r="G35" s="154">
        <f>Future!G36</f>
        <v>787.5</v>
      </c>
      <c r="H35" s="154">
        <f>Future!H36</f>
        <v>1701.3</v>
      </c>
      <c r="I35" s="154">
        <f>Future!I36</f>
        <v>1797.6</v>
      </c>
      <c r="J35" s="154">
        <f>Future!J36</f>
        <v>1035.15</v>
      </c>
      <c r="K35" s="154">
        <f>Future!K36</f>
        <v>765</v>
      </c>
      <c r="L35" s="154">
        <f>Future!L36</f>
        <v>0</v>
      </c>
      <c r="M35" s="154">
        <f>Future!M36</f>
        <v>0</v>
      </c>
      <c r="N35" s="154">
        <f t="shared" si="7"/>
        <v>6914.85</v>
      </c>
      <c r="O35" s="146">
        <f>Future!O36</f>
        <v>7122.2955</v>
      </c>
      <c r="P35" s="146">
        <f>Future!P36</f>
        <v>7335.964365</v>
      </c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</row>
    <row r="36" spans="1:42" s="25" customFormat="1" ht="12.75">
      <c r="A36" s="35" t="s">
        <v>40</v>
      </c>
      <c r="B36" s="154">
        <f>Future!B37</f>
        <v>0</v>
      </c>
      <c r="C36" s="154">
        <f>Future!C37</f>
        <v>0</v>
      </c>
      <c r="D36" s="154">
        <f>Future!D37</f>
        <v>0</v>
      </c>
      <c r="E36" s="154">
        <f>Future!E37</f>
        <v>464.6</v>
      </c>
      <c r="F36" s="154">
        <f>Future!F37</f>
        <v>805.46</v>
      </c>
      <c r="G36" s="154">
        <f>Future!G37</f>
        <v>1207.5</v>
      </c>
      <c r="H36" s="154">
        <f>Future!H37</f>
        <v>2608.66</v>
      </c>
      <c r="I36" s="154">
        <f>Future!I37</f>
        <v>2755.25</v>
      </c>
      <c r="J36" s="154">
        <f>Future!J37</f>
        <v>1586.2</v>
      </c>
      <c r="K36" s="154">
        <f>Future!K37</f>
        <v>1173</v>
      </c>
      <c r="L36" s="154">
        <f>Future!L37</f>
        <v>0</v>
      </c>
      <c r="M36" s="154">
        <f>Future!M37</f>
        <v>0</v>
      </c>
      <c r="N36" s="154">
        <f t="shared" si="7"/>
        <v>10600.67</v>
      </c>
      <c r="O36" s="146">
        <f>Future!O37</f>
        <v>10918.6901</v>
      </c>
      <c r="P36" s="146">
        <f>Future!P37</f>
        <v>11246.250802999999</v>
      </c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</row>
    <row r="37" spans="1:42" s="25" customFormat="1" ht="12.75">
      <c r="A37" s="52" t="s">
        <v>200</v>
      </c>
      <c r="B37" s="154">
        <f>'New 1'!B31</f>
        <v>0</v>
      </c>
      <c r="C37" s="154">
        <f>'New 1'!C31</f>
        <v>0</v>
      </c>
      <c r="D37" s="154">
        <f>'New 1'!D31</f>
        <v>0</v>
      </c>
      <c r="E37" s="154">
        <f>'New 1'!E31</f>
        <v>2662.59</v>
      </c>
      <c r="F37" s="154">
        <f>'New 1'!F31</f>
        <v>5325.18</v>
      </c>
      <c r="G37" s="154">
        <f>'New 1'!G31</f>
        <v>6085.920000000001</v>
      </c>
      <c r="H37" s="154">
        <f>'New 1'!H31</f>
        <v>7607.4</v>
      </c>
      <c r="I37" s="154">
        <f>'New 1'!I31</f>
        <v>7987.7699999999995</v>
      </c>
      <c r="J37" s="154">
        <f>'New 1'!J31</f>
        <v>4944.8099999999995</v>
      </c>
      <c r="K37" s="154">
        <f>'New 1'!K31</f>
        <v>3423.33</v>
      </c>
      <c r="L37" s="154">
        <f>'New 1'!L31</f>
        <v>0</v>
      </c>
      <c r="M37" s="154">
        <f>'New 1'!M31</f>
        <v>0</v>
      </c>
      <c r="N37" s="154">
        <f t="shared" si="7"/>
        <v>38037.00000000001</v>
      </c>
      <c r="O37" s="133">
        <f>'New 1'!O31</f>
        <v>39558.479999999996</v>
      </c>
      <c r="P37" s="133">
        <f>'New 1'!P31</f>
        <v>40745.2344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</row>
    <row r="38" spans="1:42" s="25" customFormat="1" ht="12.75">
      <c r="A38" s="52" t="s">
        <v>199</v>
      </c>
      <c r="B38" s="154">
        <f>'New 2'!B31</f>
        <v>0</v>
      </c>
      <c r="C38" s="154">
        <f>'New 2'!C31</f>
        <v>0</v>
      </c>
      <c r="D38" s="154">
        <f>'New 2'!D31</f>
        <v>0</v>
      </c>
      <c r="E38" s="154">
        <f>'New 2'!E31</f>
        <v>0</v>
      </c>
      <c r="F38" s="154">
        <f>'New 2'!F31</f>
        <v>0</v>
      </c>
      <c r="G38" s="154">
        <f>'New 2'!G31</f>
        <v>0</v>
      </c>
      <c r="H38" s="154">
        <f>'New 2'!H31</f>
        <v>0</v>
      </c>
      <c r="I38" s="154">
        <f>'New 2'!I31</f>
        <v>0</v>
      </c>
      <c r="J38" s="154">
        <f>'New 2'!J31</f>
        <v>0</v>
      </c>
      <c r="K38" s="154">
        <f>'New 2'!K31</f>
        <v>0</v>
      </c>
      <c r="L38" s="154">
        <f>'New 2'!L31</f>
        <v>0</v>
      </c>
      <c r="M38" s="154">
        <f>'New 2'!M31</f>
        <v>0</v>
      </c>
      <c r="N38" s="154">
        <f t="shared" si="7"/>
        <v>0</v>
      </c>
      <c r="O38" s="154">
        <f>'New 2'!O31</f>
        <v>0</v>
      </c>
      <c r="P38" s="154">
        <f>'New 2'!P31</f>
        <v>0</v>
      </c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</row>
    <row r="39" spans="1:42" s="80" customFormat="1" ht="12.75">
      <c r="A39" s="82" t="s">
        <v>69</v>
      </c>
      <c r="B39" s="164">
        <f>SUM(B33:B38)</f>
        <v>0</v>
      </c>
      <c r="C39" s="164">
        <f aca="true" t="shared" si="8" ref="C39:P39">SUM(C33:C38)</f>
        <v>0</v>
      </c>
      <c r="D39" s="164">
        <f t="shared" si="8"/>
        <v>0</v>
      </c>
      <c r="E39" s="164">
        <f t="shared" si="8"/>
        <v>4945.1900000000005</v>
      </c>
      <c r="F39" s="164">
        <f t="shared" si="8"/>
        <v>8764.35</v>
      </c>
      <c r="G39" s="164">
        <f t="shared" si="8"/>
        <v>10884.420000000002</v>
      </c>
      <c r="H39" s="164">
        <f t="shared" si="8"/>
        <v>17112.21</v>
      </c>
      <c r="I39" s="164">
        <f t="shared" si="8"/>
        <v>17983.71</v>
      </c>
      <c r="J39" s="164">
        <f t="shared" si="8"/>
        <v>11001.21</v>
      </c>
      <c r="K39" s="164">
        <f t="shared" si="8"/>
        <v>8084.73</v>
      </c>
      <c r="L39" s="164">
        <f t="shared" si="8"/>
        <v>0</v>
      </c>
      <c r="M39" s="164">
        <f t="shared" si="8"/>
        <v>0</v>
      </c>
      <c r="N39" s="164">
        <f t="shared" si="8"/>
        <v>78775.82</v>
      </c>
      <c r="O39" s="164">
        <f t="shared" si="8"/>
        <v>81519.46459999999</v>
      </c>
      <c r="P39" s="164">
        <f t="shared" si="8"/>
        <v>83965.048538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</row>
    <row r="40" spans="1:26" s="61" customFormat="1" ht="12.75">
      <c r="A40" s="83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42" s="25" customFormat="1" ht="12" customHeight="1">
      <c r="A41" s="52" t="s">
        <v>70</v>
      </c>
      <c r="B41" s="154">
        <f>B29-B39</f>
        <v>0</v>
      </c>
      <c r="C41" s="154">
        <f>C29-C39</f>
        <v>0</v>
      </c>
      <c r="D41" s="154">
        <v>0</v>
      </c>
      <c r="E41" s="154">
        <f aca="true" t="shared" si="9" ref="E41:K41">E29-E39</f>
        <v>3604.3655294117634</v>
      </c>
      <c r="F41" s="154">
        <f t="shared" si="9"/>
        <v>11515.703599999999</v>
      </c>
      <c r="G41" s="154">
        <f t="shared" si="9"/>
        <v>14657.843124999996</v>
      </c>
      <c r="H41" s="154">
        <f t="shared" si="9"/>
        <v>26094.016624999997</v>
      </c>
      <c r="I41" s="154">
        <f t="shared" si="9"/>
        <v>27353.72053061224</v>
      </c>
      <c r="J41" s="154">
        <f t="shared" si="9"/>
        <v>20399.30727704918</v>
      </c>
      <c r="K41" s="154">
        <f t="shared" si="9"/>
        <v>18407.646404494382</v>
      </c>
      <c r="L41" s="154">
        <v>0</v>
      </c>
      <c r="M41" s="154">
        <v>0</v>
      </c>
      <c r="N41" s="154">
        <f>N29-N39</f>
        <v>122032.60309156752</v>
      </c>
      <c r="O41" s="154">
        <f>O29-O39</f>
        <v>129243.45962841333</v>
      </c>
      <c r="P41" s="154">
        <f>P29-P39</f>
        <v>134920.25478335432</v>
      </c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</row>
    <row r="42" spans="1:42" s="25" customFormat="1" ht="12" customHeight="1">
      <c r="A42" s="35" t="s">
        <v>7</v>
      </c>
      <c r="B42" s="165">
        <f>IF(B16=0,0,B41/B16)</f>
        <v>0</v>
      </c>
      <c r="C42" s="165">
        <f aca="true" t="shared" si="10" ref="C42:P42">IF(C16=0,0,C41/C16)</f>
        <v>0</v>
      </c>
      <c r="D42" s="165">
        <f t="shared" si="10"/>
        <v>0</v>
      </c>
      <c r="E42" s="165">
        <f t="shared" si="10"/>
        <v>0.21609579731572948</v>
      </c>
      <c r="F42" s="165">
        <f t="shared" si="10"/>
        <v>0.33358893693743796</v>
      </c>
      <c r="G42" s="165">
        <f t="shared" si="10"/>
        <v>0.3275634747620568</v>
      </c>
      <c r="H42" s="165">
        <f t="shared" si="10"/>
        <v>0.3433088965679657</v>
      </c>
      <c r="I42" s="165">
        <f t="shared" si="10"/>
        <v>0.3404219479519248</v>
      </c>
      <c r="J42" s="165">
        <f t="shared" si="10"/>
        <v>0.40931371363980296</v>
      </c>
      <c r="K42" s="165">
        <f t="shared" si="10"/>
        <v>0.5157278268774889</v>
      </c>
      <c r="L42" s="165">
        <f t="shared" si="10"/>
        <v>0</v>
      </c>
      <c r="M42" s="165">
        <f t="shared" si="10"/>
        <v>0</v>
      </c>
      <c r="N42" s="165">
        <f t="shared" si="10"/>
        <v>0.36121589339580285</v>
      </c>
      <c r="O42" s="165">
        <f t="shared" si="10"/>
        <v>0.3657518285360615</v>
      </c>
      <c r="P42" s="165">
        <f t="shared" si="10"/>
        <v>0.36750826923091817</v>
      </c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</row>
    <row r="43" spans="1:42" s="25" customFormat="1" ht="12" customHeight="1">
      <c r="A43" s="35"/>
      <c r="B43" s="54"/>
      <c r="C43" s="54"/>
      <c r="D43" s="12"/>
      <c r="E43" s="54"/>
      <c r="F43" s="54"/>
      <c r="G43" s="54"/>
      <c r="H43" s="54"/>
      <c r="I43" s="54"/>
      <c r="J43" s="54"/>
      <c r="K43" s="54"/>
      <c r="L43" s="12"/>
      <c r="M43" s="12"/>
      <c r="N43" s="54"/>
      <c r="O43" s="54"/>
      <c r="P43" s="54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</row>
    <row r="44" spans="1:42" s="25" customFormat="1" ht="12" customHeight="1">
      <c r="A44" s="51" t="s">
        <v>71</v>
      </c>
      <c r="B44" s="12"/>
      <c r="C44" s="12"/>
      <c r="D44" s="12"/>
      <c r="E44" s="54"/>
      <c r="F44" s="12"/>
      <c r="G44" s="12"/>
      <c r="H44" s="12"/>
      <c r="I44" s="12"/>
      <c r="J44" s="12"/>
      <c r="K44" s="12"/>
      <c r="L44" s="12"/>
      <c r="M44" s="12"/>
      <c r="N44" s="12"/>
      <c r="O44" s="1"/>
      <c r="P44" s="21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</row>
    <row r="45" spans="1:42" s="25" customFormat="1" ht="12" customHeight="1">
      <c r="A45" s="35" t="s">
        <v>72</v>
      </c>
      <c r="B45" s="154">
        <f>Future!B44</f>
        <v>0</v>
      </c>
      <c r="C45" s="154">
        <f>Future!C44</f>
        <v>0</v>
      </c>
      <c r="D45" s="154">
        <f>Future!D44</f>
        <v>0</v>
      </c>
      <c r="E45" s="154">
        <f>Future!E44</f>
        <v>202</v>
      </c>
      <c r="F45" s="154">
        <f>Future!F44</f>
        <v>350.2</v>
      </c>
      <c r="G45" s="154">
        <f>Future!G44</f>
        <v>525</v>
      </c>
      <c r="H45" s="154">
        <f>Future!H44</f>
        <v>1134.2</v>
      </c>
      <c r="I45" s="154">
        <f>Future!I44</f>
        <v>1198.4</v>
      </c>
      <c r="J45" s="154">
        <f>Future!J44</f>
        <v>690.1</v>
      </c>
      <c r="K45" s="154">
        <f>Future!K44</f>
        <v>510</v>
      </c>
      <c r="L45" s="154">
        <f>Future!L44</f>
        <v>0</v>
      </c>
      <c r="M45" s="154">
        <f>Future!M44</f>
        <v>0</v>
      </c>
      <c r="N45" s="154">
        <f t="shared" si="7"/>
        <v>4609.900000000001</v>
      </c>
      <c r="O45" s="133">
        <f>Future!O44</f>
        <v>4748.197</v>
      </c>
      <c r="P45" s="133">
        <f>Future!P44</f>
        <v>4890.6429100000005</v>
      </c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</row>
    <row r="46" spans="1:42" s="25" customFormat="1" ht="12" customHeight="1">
      <c r="A46" s="137" t="s">
        <v>84</v>
      </c>
      <c r="B46" s="154">
        <f>Future!B45</f>
        <v>0</v>
      </c>
      <c r="C46" s="154">
        <f>Future!C45</f>
        <v>0</v>
      </c>
      <c r="D46" s="154">
        <f>Future!D45</f>
        <v>0</v>
      </c>
      <c r="E46" s="154">
        <f>Future!E45</f>
        <v>202</v>
      </c>
      <c r="F46" s="154">
        <f>Future!F45</f>
        <v>350.2</v>
      </c>
      <c r="G46" s="154">
        <f>Future!G45</f>
        <v>525</v>
      </c>
      <c r="H46" s="154">
        <f>Future!H45</f>
        <v>1134.2</v>
      </c>
      <c r="I46" s="154">
        <f>Future!I45</f>
        <v>1198.4</v>
      </c>
      <c r="J46" s="154">
        <f>Future!J45</f>
        <v>690.1</v>
      </c>
      <c r="K46" s="154">
        <f>Future!K45</f>
        <v>510</v>
      </c>
      <c r="L46" s="154">
        <f>Future!L45</f>
        <v>0</v>
      </c>
      <c r="M46" s="154">
        <f>Future!M45</f>
        <v>0</v>
      </c>
      <c r="N46" s="154">
        <f t="shared" si="7"/>
        <v>4609.900000000001</v>
      </c>
      <c r="O46" s="133">
        <f>Future!O45</f>
        <v>4748.197</v>
      </c>
      <c r="P46" s="133">
        <f>Future!P45</f>
        <v>4890.6429100000005</v>
      </c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</row>
    <row r="47" spans="1:42" s="25" customFormat="1" ht="12" customHeight="1">
      <c r="A47" s="24" t="s">
        <v>11</v>
      </c>
      <c r="B47" s="154">
        <f>Future!B46</f>
        <v>0</v>
      </c>
      <c r="C47" s="154">
        <f>Future!C46</f>
        <v>0</v>
      </c>
      <c r="D47" s="154">
        <f>Future!D46</f>
        <v>0</v>
      </c>
      <c r="E47" s="154">
        <f>Future!E46</f>
        <v>868.6</v>
      </c>
      <c r="F47" s="154">
        <f>Future!F46</f>
        <v>885.8</v>
      </c>
      <c r="G47" s="154">
        <f>Future!G46</f>
        <v>903</v>
      </c>
      <c r="H47" s="154">
        <f>Future!H46</f>
        <v>920.2</v>
      </c>
      <c r="I47" s="154">
        <f>Future!I46</f>
        <v>920.2</v>
      </c>
      <c r="J47" s="154">
        <f>Future!J46</f>
        <v>885.8</v>
      </c>
      <c r="K47" s="154">
        <f>Future!K46</f>
        <v>877.2</v>
      </c>
      <c r="L47" s="154">
        <f>Future!L46</f>
        <v>0</v>
      </c>
      <c r="M47" s="154">
        <f>Future!M46</f>
        <v>0</v>
      </c>
      <c r="N47" s="154">
        <f t="shared" si="7"/>
        <v>6260.8</v>
      </c>
      <c r="O47" s="133">
        <f>Future!O46</f>
        <v>6448.624</v>
      </c>
      <c r="P47" s="133">
        <f>Future!P46</f>
        <v>6642.082719999999</v>
      </c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</row>
    <row r="48" spans="1:42" s="25" customFormat="1" ht="12" customHeight="1">
      <c r="A48" s="34" t="s">
        <v>12</v>
      </c>
      <c r="B48" s="154">
        <f>Future!B47</f>
        <v>0</v>
      </c>
      <c r="C48" s="154">
        <f>Future!C47</f>
        <v>0</v>
      </c>
      <c r="D48" s="154">
        <f>Future!D47</f>
        <v>0</v>
      </c>
      <c r="E48" s="154">
        <f>Future!E47</f>
        <v>808</v>
      </c>
      <c r="F48" s="154">
        <f>Future!F47</f>
        <v>1421.4</v>
      </c>
      <c r="G48" s="154">
        <f>Future!G47</f>
        <v>2189.25</v>
      </c>
      <c r="H48" s="154">
        <f>Future!H47</f>
        <v>4873.85</v>
      </c>
      <c r="I48" s="154">
        <f>Future!I47</f>
        <v>5369.26</v>
      </c>
      <c r="J48" s="154">
        <f>Future!J47</f>
        <v>3064.25</v>
      </c>
      <c r="K48" s="154">
        <f>Future!K47</f>
        <v>2249.1</v>
      </c>
      <c r="L48" s="154">
        <f>Future!L47</f>
        <v>0</v>
      </c>
      <c r="M48" s="154">
        <f>Future!M47</f>
        <v>0</v>
      </c>
      <c r="N48" s="156">
        <f t="shared" si="7"/>
        <v>19975.11</v>
      </c>
      <c r="O48" s="133">
        <f>Future!O47</f>
        <v>20574.3633</v>
      </c>
      <c r="P48" s="133">
        <f>Future!P47</f>
        <v>21191.594199</v>
      </c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</row>
    <row r="49" spans="1:42" s="25" customFormat="1" ht="12" customHeight="1">
      <c r="A49" s="35" t="s">
        <v>2</v>
      </c>
      <c r="B49" s="154">
        <f>Future!B48</f>
        <v>0</v>
      </c>
      <c r="C49" s="154">
        <f>Future!C48</f>
        <v>0</v>
      </c>
      <c r="D49" s="154">
        <f>Future!D48</f>
        <v>0</v>
      </c>
      <c r="E49" s="154">
        <f>Future!E48</f>
        <v>0</v>
      </c>
      <c r="F49" s="154">
        <f>Future!F48</f>
        <v>0</v>
      </c>
      <c r="G49" s="154">
        <f>Future!G48</f>
        <v>0</v>
      </c>
      <c r="H49" s="154">
        <f>Future!H48</f>
        <v>0</v>
      </c>
      <c r="I49" s="154">
        <f>Future!I48</f>
        <v>0</v>
      </c>
      <c r="J49" s="154">
        <f>Future!J48</f>
        <v>0</v>
      </c>
      <c r="K49" s="154">
        <f>Future!K48</f>
        <v>0</v>
      </c>
      <c r="L49" s="154">
        <f>Future!L48</f>
        <v>0</v>
      </c>
      <c r="M49" s="154">
        <f>Future!M48</f>
        <v>0</v>
      </c>
      <c r="N49" s="155">
        <f t="shared" si="7"/>
        <v>0</v>
      </c>
      <c r="O49" s="133">
        <f>Future!O48</f>
        <v>0</v>
      </c>
      <c r="P49" s="133">
        <f>Future!P48</f>
        <v>0</v>
      </c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</row>
    <row r="50" spans="1:42" s="25" customFormat="1" ht="12" customHeight="1">
      <c r="A50" s="52" t="s">
        <v>200</v>
      </c>
      <c r="B50" s="155">
        <f>'New 1'!B40</f>
        <v>0</v>
      </c>
      <c r="C50" s="155">
        <f>'New 1'!C40</f>
        <v>0</v>
      </c>
      <c r="D50" s="155">
        <f>'New 1'!D40</f>
        <v>0</v>
      </c>
      <c r="E50" s="155">
        <f>'New 1'!E40</f>
        <v>64.54</v>
      </c>
      <c r="F50" s="155">
        <f>'New 1'!F40</f>
        <v>129.08</v>
      </c>
      <c r="G50" s="155">
        <f>'New 1'!G40</f>
        <v>147.52</v>
      </c>
      <c r="H50" s="155">
        <f>'New 1'!H40</f>
        <v>184.4</v>
      </c>
      <c r="I50" s="155">
        <f>'New 1'!I40</f>
        <v>193.62</v>
      </c>
      <c r="J50" s="155">
        <f>'New 1'!J40</f>
        <v>119.86</v>
      </c>
      <c r="K50" s="155">
        <f>'New 1'!K40</f>
        <v>82.98</v>
      </c>
      <c r="L50" s="155">
        <f>'New 1'!L40</f>
        <v>0</v>
      </c>
      <c r="M50" s="155">
        <f>'New 1'!M40</f>
        <v>0</v>
      </c>
      <c r="N50" s="155">
        <f t="shared" si="7"/>
        <v>922</v>
      </c>
      <c r="O50" s="158">
        <f>'New 1'!O40</f>
        <v>958.88</v>
      </c>
      <c r="P50" s="158">
        <f>'New 1'!P40</f>
        <v>987.6464</v>
      </c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</row>
    <row r="51" spans="1:42" s="25" customFormat="1" ht="12" customHeight="1">
      <c r="A51" s="52" t="s">
        <v>199</v>
      </c>
      <c r="B51" s="155">
        <f>'New 2'!B40</f>
        <v>0</v>
      </c>
      <c r="C51" s="155">
        <f>'New 2'!C40</f>
        <v>0</v>
      </c>
      <c r="D51" s="155">
        <f>'New 2'!D40</f>
        <v>0</v>
      </c>
      <c r="E51" s="155">
        <f>'New 2'!E40</f>
        <v>0</v>
      </c>
      <c r="F51" s="155">
        <f>'New 2'!F40</f>
        <v>0</v>
      </c>
      <c r="G51" s="155">
        <f>'New 2'!G40</f>
        <v>0</v>
      </c>
      <c r="H51" s="155">
        <f>'New 2'!H40</f>
        <v>0</v>
      </c>
      <c r="I51" s="155">
        <f>'New 2'!I40</f>
        <v>0</v>
      </c>
      <c r="J51" s="155">
        <f>'New 2'!J40</f>
        <v>0</v>
      </c>
      <c r="K51" s="155">
        <f>'New 2'!K40</f>
        <v>0</v>
      </c>
      <c r="L51" s="155">
        <f>'New 2'!L40</f>
        <v>0</v>
      </c>
      <c r="M51" s="155">
        <f>'New 2'!M40</f>
        <v>0</v>
      </c>
      <c r="N51" s="155">
        <f t="shared" si="7"/>
        <v>0</v>
      </c>
      <c r="O51" s="155">
        <f>'New 2'!O40</f>
        <v>0</v>
      </c>
      <c r="P51" s="155">
        <f>'New 2'!P40</f>
        <v>0</v>
      </c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</row>
    <row r="52" spans="1:42" s="80" customFormat="1" ht="12" customHeight="1">
      <c r="A52" s="86" t="s">
        <v>73</v>
      </c>
      <c r="B52" s="163">
        <f>SUM(B45:B51)</f>
        <v>0</v>
      </c>
      <c r="C52" s="163">
        <f aca="true" t="shared" si="11" ref="C52:P52">SUM(C45:C51)</f>
        <v>0</v>
      </c>
      <c r="D52" s="163">
        <f t="shared" si="11"/>
        <v>0</v>
      </c>
      <c r="E52" s="163">
        <f t="shared" si="11"/>
        <v>2145.14</v>
      </c>
      <c r="F52" s="163">
        <f t="shared" si="11"/>
        <v>3136.68</v>
      </c>
      <c r="G52" s="163">
        <f t="shared" si="11"/>
        <v>4289.77</v>
      </c>
      <c r="H52" s="163">
        <f t="shared" si="11"/>
        <v>8246.85</v>
      </c>
      <c r="I52" s="163">
        <f t="shared" si="11"/>
        <v>8879.880000000001</v>
      </c>
      <c r="J52" s="163">
        <f t="shared" si="11"/>
        <v>5450.11</v>
      </c>
      <c r="K52" s="163">
        <f t="shared" si="11"/>
        <v>4229.28</v>
      </c>
      <c r="L52" s="163">
        <f t="shared" si="11"/>
        <v>0</v>
      </c>
      <c r="M52" s="163">
        <f t="shared" si="11"/>
        <v>0</v>
      </c>
      <c r="N52" s="163">
        <f t="shared" si="11"/>
        <v>36377.71000000001</v>
      </c>
      <c r="O52" s="163">
        <f t="shared" si="11"/>
        <v>37478.2613</v>
      </c>
      <c r="P52" s="163">
        <f t="shared" si="11"/>
        <v>38602.60913899999</v>
      </c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</row>
    <row r="53" spans="1:42" s="25" customFormat="1" ht="14.25" customHeight="1">
      <c r="A53" s="44" t="s">
        <v>10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</row>
    <row r="54" spans="1:42" s="25" customFormat="1" ht="12" customHeight="1">
      <c r="A54" s="45" t="s">
        <v>74</v>
      </c>
      <c r="B54" s="171">
        <f>B41-B52</f>
        <v>0</v>
      </c>
      <c r="C54" s="171">
        <f>C41-C52</f>
        <v>0</v>
      </c>
      <c r="D54" s="171">
        <f>D29-D52</f>
        <v>0</v>
      </c>
      <c r="E54" s="171">
        <f aca="true" t="shared" si="12" ref="E54:K54">E41-E52</f>
        <v>1459.2255294117635</v>
      </c>
      <c r="F54" s="171">
        <f t="shared" si="12"/>
        <v>8379.023599999999</v>
      </c>
      <c r="G54" s="171">
        <f t="shared" si="12"/>
        <v>10368.073124999995</v>
      </c>
      <c r="H54" s="171">
        <f t="shared" si="12"/>
        <v>17847.166624999998</v>
      </c>
      <c r="I54" s="171">
        <f t="shared" si="12"/>
        <v>18473.84053061224</v>
      </c>
      <c r="J54" s="171">
        <f t="shared" si="12"/>
        <v>14949.197277049181</v>
      </c>
      <c r="K54" s="171">
        <f t="shared" si="12"/>
        <v>14178.366404494383</v>
      </c>
      <c r="L54" s="171">
        <f>L29-L52</f>
        <v>0</v>
      </c>
      <c r="M54" s="171">
        <f>M29-M52</f>
        <v>0</v>
      </c>
      <c r="N54" s="171">
        <f>N41-N52</f>
        <v>85654.89309156752</v>
      </c>
      <c r="O54" s="171">
        <f>O41-O52</f>
        <v>91765.19832841333</v>
      </c>
      <c r="P54" s="171">
        <f>P41-P52</f>
        <v>96317.64564435433</v>
      </c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</row>
    <row r="55" spans="1:42" s="25" customFormat="1" ht="12" customHeight="1">
      <c r="A55" s="53" t="s">
        <v>7</v>
      </c>
      <c r="B55" s="165">
        <f>IF(B16=0,0,B54/B16)</f>
        <v>0</v>
      </c>
      <c r="C55" s="165">
        <f aca="true" t="shared" si="13" ref="C55:P55">IF(C16=0,0,C54/C16)</f>
        <v>0</v>
      </c>
      <c r="D55" s="165">
        <f t="shared" si="13"/>
        <v>0</v>
      </c>
      <c r="E55" s="165">
        <f t="shared" si="13"/>
        <v>0.08748627231854732</v>
      </c>
      <c r="F55" s="165">
        <f t="shared" si="13"/>
        <v>0.24272503638402992</v>
      </c>
      <c r="G55" s="165">
        <f t="shared" si="13"/>
        <v>0.23169862239961017</v>
      </c>
      <c r="H55" s="165">
        <f t="shared" si="13"/>
        <v>0.23480827689146055</v>
      </c>
      <c r="I55" s="165">
        <f t="shared" si="13"/>
        <v>0.22991025197271323</v>
      </c>
      <c r="J55" s="165">
        <f t="shared" si="13"/>
        <v>0.29995682550883895</v>
      </c>
      <c r="K55" s="165">
        <f t="shared" si="13"/>
        <v>0.3972359058721029</v>
      </c>
      <c r="L55" s="165">
        <f t="shared" si="13"/>
        <v>0</v>
      </c>
      <c r="M55" s="165">
        <f t="shared" si="13"/>
        <v>0</v>
      </c>
      <c r="N55" s="165">
        <f t="shared" si="13"/>
        <v>0.25353805415899133</v>
      </c>
      <c r="O55" s="165">
        <f t="shared" si="13"/>
        <v>0.2596904259688576</v>
      </c>
      <c r="P55" s="165">
        <f t="shared" si="13"/>
        <v>0.2623589119661275</v>
      </c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</row>
    <row r="56" spans="1:42" s="25" customFormat="1" ht="12" customHeight="1">
      <c r="A56" s="5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"/>
      <c r="P56" s="21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</row>
    <row r="57" spans="1:42" s="25" customFormat="1" ht="12" customHeight="1">
      <c r="A57" s="24" t="s">
        <v>78</v>
      </c>
      <c r="B57" s="156">
        <f>Future!B54</f>
        <v>0</v>
      </c>
      <c r="C57" s="156">
        <f>Future!C54</f>
        <v>0</v>
      </c>
      <c r="D57" s="156">
        <f>Future!D54</f>
        <v>0</v>
      </c>
      <c r="E57" s="156">
        <f>Future!E54</f>
        <v>1515</v>
      </c>
      <c r="F57" s="156">
        <f>Future!F54</f>
        <v>1545</v>
      </c>
      <c r="G57" s="156">
        <f>Future!G54</f>
        <v>1575</v>
      </c>
      <c r="H57" s="156">
        <f>Future!H54</f>
        <v>1605</v>
      </c>
      <c r="I57" s="156">
        <f>Future!I54</f>
        <v>1605</v>
      </c>
      <c r="J57" s="156">
        <f>Future!J54</f>
        <v>1545</v>
      </c>
      <c r="K57" s="156">
        <f>Future!K54</f>
        <v>1530</v>
      </c>
      <c r="L57" s="156">
        <f>Future!L54</f>
        <v>0</v>
      </c>
      <c r="M57" s="156">
        <f>Future!M54</f>
        <v>0</v>
      </c>
      <c r="N57" s="156">
        <f>SUM(B57:M57)</f>
        <v>10920</v>
      </c>
      <c r="O57" s="156">
        <f>Future!O54</f>
        <v>11247.6</v>
      </c>
      <c r="P57" s="156">
        <f>Future!P54</f>
        <v>11585.028</v>
      </c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</row>
    <row r="58" spans="1:42" s="25" customFormat="1" ht="12.75">
      <c r="A58" s="52" t="s">
        <v>200</v>
      </c>
      <c r="B58" s="154">
        <f>'New 1'!B48</f>
        <v>0</v>
      </c>
      <c r="C58" s="154">
        <f>'New 1'!C48</f>
        <v>0</v>
      </c>
      <c r="D58" s="154">
        <f>'New 1'!D48</f>
        <v>0</v>
      </c>
      <c r="E58" s="154">
        <f>'New 1'!E48</f>
        <v>2250</v>
      </c>
      <c r="F58" s="154">
        <f>'New 1'!F48</f>
        <v>2250</v>
      </c>
      <c r="G58" s="154">
        <f>'New 1'!G48</f>
        <v>2250</v>
      </c>
      <c r="H58" s="154">
        <f>'New 1'!H48</f>
        <v>2250</v>
      </c>
      <c r="I58" s="154">
        <f>'New 1'!I48</f>
        <v>2250</v>
      </c>
      <c r="J58" s="154">
        <f>'New 1'!J48</f>
        <v>2250</v>
      </c>
      <c r="K58" s="154">
        <f>'New 1'!K48</f>
        <v>2250</v>
      </c>
      <c r="L58" s="154">
        <f>'New 1'!L48</f>
        <v>0</v>
      </c>
      <c r="M58" s="154">
        <f>'New 1'!M48</f>
        <v>0</v>
      </c>
      <c r="N58" s="156">
        <f>SUM(B58:M58)</f>
        <v>15750</v>
      </c>
      <c r="O58" s="146">
        <f>'New 1'!O48</f>
        <v>16380</v>
      </c>
      <c r="P58" s="146">
        <f>'New 1'!P48</f>
        <v>16871.399999999998</v>
      </c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</row>
    <row r="59" spans="1:42" s="25" customFormat="1" ht="12.75">
      <c r="A59" s="52" t="s">
        <v>199</v>
      </c>
      <c r="B59" s="154">
        <f>'New 2'!B48</f>
        <v>0</v>
      </c>
      <c r="C59" s="154">
        <f>'New 2'!C48</f>
        <v>0</v>
      </c>
      <c r="D59" s="154">
        <f>'New 2'!D48</f>
        <v>0</v>
      </c>
      <c r="E59" s="154">
        <f>'New 2'!E48</f>
        <v>0</v>
      </c>
      <c r="F59" s="154">
        <f>'New 2'!F48</f>
        <v>0</v>
      </c>
      <c r="G59" s="154">
        <f>'New 2'!G48</f>
        <v>0</v>
      </c>
      <c r="H59" s="154">
        <f>'New 2'!H48</f>
        <v>0</v>
      </c>
      <c r="I59" s="154">
        <f>'New 2'!I48</f>
        <v>0</v>
      </c>
      <c r="J59" s="154">
        <f>'New 2'!J48</f>
        <v>0</v>
      </c>
      <c r="K59" s="154">
        <f>'New 2'!K48</f>
        <v>0</v>
      </c>
      <c r="L59" s="154">
        <f>'New 2'!L48</f>
        <v>0</v>
      </c>
      <c r="M59" s="154">
        <f>'New 2'!M48</f>
        <v>0</v>
      </c>
      <c r="N59" s="156">
        <f>SUM(B59:M59)</f>
        <v>0</v>
      </c>
      <c r="O59" s="154">
        <f>'New 2'!O48</f>
        <v>0</v>
      </c>
      <c r="P59" s="154">
        <f>'New 2'!P48</f>
        <v>0</v>
      </c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</row>
    <row r="60" spans="1:42" s="80" customFormat="1" ht="12" customHeight="1">
      <c r="A60" s="111" t="s">
        <v>13</v>
      </c>
      <c r="B60" s="162">
        <f>SUM(B57:B59)</f>
        <v>0</v>
      </c>
      <c r="C60" s="162">
        <f aca="true" t="shared" si="14" ref="C60:P60">SUM(C57:C59)</f>
        <v>0</v>
      </c>
      <c r="D60" s="162">
        <f t="shared" si="14"/>
        <v>0</v>
      </c>
      <c r="E60" s="162">
        <f t="shared" si="14"/>
        <v>3765</v>
      </c>
      <c r="F60" s="162">
        <f t="shared" si="14"/>
        <v>3795</v>
      </c>
      <c r="G60" s="162">
        <f t="shared" si="14"/>
        <v>3825</v>
      </c>
      <c r="H60" s="162">
        <f t="shared" si="14"/>
        <v>3855</v>
      </c>
      <c r="I60" s="162">
        <f t="shared" si="14"/>
        <v>3855</v>
      </c>
      <c r="J60" s="162">
        <f t="shared" si="14"/>
        <v>3795</v>
      </c>
      <c r="K60" s="162">
        <f t="shared" si="14"/>
        <v>3780</v>
      </c>
      <c r="L60" s="162">
        <f t="shared" si="14"/>
        <v>0</v>
      </c>
      <c r="M60" s="162">
        <f t="shared" si="14"/>
        <v>0</v>
      </c>
      <c r="N60" s="162">
        <f t="shared" si="14"/>
        <v>26670</v>
      </c>
      <c r="O60" s="162">
        <f t="shared" si="14"/>
        <v>27627.6</v>
      </c>
      <c r="P60" s="162">
        <f t="shared" si="14"/>
        <v>28456.428</v>
      </c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</row>
    <row r="61" spans="1:42" s="25" customFormat="1" ht="12" customHeight="1">
      <c r="A61" s="26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60"/>
      <c r="O61" s="160"/>
      <c r="P61" s="160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</row>
    <row r="62" spans="1:42" s="151" customFormat="1" ht="12" customHeight="1" thickBot="1">
      <c r="A62" s="129" t="s">
        <v>14</v>
      </c>
      <c r="B62" s="172">
        <f aca="true" t="shared" si="15" ref="B62:P62">B54-B60</f>
        <v>0</v>
      </c>
      <c r="C62" s="172">
        <f t="shared" si="15"/>
        <v>0</v>
      </c>
      <c r="D62" s="172">
        <f t="shared" si="15"/>
        <v>0</v>
      </c>
      <c r="E62" s="172">
        <f t="shared" si="15"/>
        <v>-2305.7744705882365</v>
      </c>
      <c r="F62" s="172">
        <f t="shared" si="15"/>
        <v>4584.023599999999</v>
      </c>
      <c r="G62" s="172">
        <f t="shared" si="15"/>
        <v>6543.073124999995</v>
      </c>
      <c r="H62" s="172">
        <f t="shared" si="15"/>
        <v>13992.166624999998</v>
      </c>
      <c r="I62" s="172">
        <f t="shared" si="15"/>
        <v>14618.84053061224</v>
      </c>
      <c r="J62" s="172">
        <f t="shared" si="15"/>
        <v>11154.197277049181</v>
      </c>
      <c r="K62" s="172">
        <f t="shared" si="15"/>
        <v>10398.366404494383</v>
      </c>
      <c r="L62" s="172">
        <f t="shared" si="15"/>
        <v>0</v>
      </c>
      <c r="M62" s="172">
        <f t="shared" si="15"/>
        <v>0</v>
      </c>
      <c r="N62" s="172">
        <f t="shared" si="15"/>
        <v>58984.893091567516</v>
      </c>
      <c r="O62" s="172">
        <f t="shared" si="15"/>
        <v>64137.59832841333</v>
      </c>
      <c r="P62" s="172">
        <f t="shared" si="15"/>
        <v>67861.21764435433</v>
      </c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</row>
    <row r="63" spans="1:42" s="38" customFormat="1" ht="12" customHeight="1">
      <c r="A63" s="36" t="s">
        <v>7</v>
      </c>
      <c r="B63" s="165">
        <f>IF(B16=0,0,B62/B16)</f>
        <v>0</v>
      </c>
      <c r="C63" s="165">
        <f aca="true" t="shared" si="16" ref="C63:P63">IF(C16=0,0,C62/C16)</f>
        <v>0</v>
      </c>
      <c r="D63" s="165">
        <f t="shared" si="16"/>
        <v>0</v>
      </c>
      <c r="E63" s="165">
        <f t="shared" si="16"/>
        <v>-0.13824018917785424</v>
      </c>
      <c r="F63" s="165">
        <f t="shared" si="16"/>
        <v>0.13279080573245453</v>
      </c>
      <c r="G63" s="165">
        <f t="shared" si="16"/>
        <v>0.14622013281010804</v>
      </c>
      <c r="H63" s="165">
        <f t="shared" si="16"/>
        <v>0.18408953108513118</v>
      </c>
      <c r="I63" s="165">
        <f t="shared" si="16"/>
        <v>0.18193408697950827</v>
      </c>
      <c r="J63" s="165">
        <f t="shared" si="16"/>
        <v>0.22380985040980278</v>
      </c>
      <c r="K63" s="165">
        <f t="shared" si="16"/>
        <v>0.2913314820930296</v>
      </c>
      <c r="L63" s="165">
        <f t="shared" si="16"/>
        <v>0</v>
      </c>
      <c r="M63" s="165">
        <f t="shared" si="16"/>
        <v>0</v>
      </c>
      <c r="N63" s="165">
        <f t="shared" si="16"/>
        <v>0.17459498785696842</v>
      </c>
      <c r="O63" s="165">
        <f t="shared" si="16"/>
        <v>0.18150584899207875</v>
      </c>
      <c r="P63" s="165">
        <f t="shared" si="16"/>
        <v>0.1848466613439586</v>
      </c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</row>
    <row r="64" spans="1:42" s="38" customFormat="1" ht="12" customHeight="1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</row>
    <row r="65" spans="1:42" s="151" customFormat="1" ht="13.5" thickBot="1">
      <c r="A65" s="128" t="s">
        <v>76</v>
      </c>
      <c r="B65" s="161">
        <f>IF(B62&gt;0,B62,0)</f>
        <v>0</v>
      </c>
      <c r="C65" s="161">
        <f aca="true" t="shared" si="17" ref="C65:P65">IF(C62&gt;0,C62,0)</f>
        <v>0</v>
      </c>
      <c r="D65" s="161">
        <f t="shared" si="17"/>
        <v>0</v>
      </c>
      <c r="E65" s="161">
        <f t="shared" si="17"/>
        <v>0</v>
      </c>
      <c r="F65" s="161">
        <f t="shared" si="17"/>
        <v>4584.023599999999</v>
      </c>
      <c r="G65" s="161">
        <f t="shared" si="17"/>
        <v>6543.073124999995</v>
      </c>
      <c r="H65" s="161">
        <f t="shared" si="17"/>
        <v>13992.166624999998</v>
      </c>
      <c r="I65" s="161">
        <f t="shared" si="17"/>
        <v>14618.84053061224</v>
      </c>
      <c r="J65" s="161">
        <f t="shared" si="17"/>
        <v>11154.197277049181</v>
      </c>
      <c r="K65" s="161">
        <f t="shared" si="17"/>
        <v>10398.366404494383</v>
      </c>
      <c r="L65" s="161">
        <f t="shared" si="17"/>
        <v>0</v>
      </c>
      <c r="M65" s="161">
        <f t="shared" si="17"/>
        <v>0</v>
      </c>
      <c r="N65" s="161">
        <f t="shared" si="17"/>
        <v>58984.893091567516</v>
      </c>
      <c r="O65" s="161">
        <f t="shared" si="17"/>
        <v>64137.59832841333</v>
      </c>
      <c r="P65" s="161">
        <f t="shared" si="17"/>
        <v>67861.21764435433</v>
      </c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</row>
    <row r="66" spans="2:26" s="25" customFormat="1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2"/>
      <c r="O66" s="1"/>
      <c r="P66" s="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s="25" customFormat="1" ht="18.75">
      <c r="A67" s="71" t="s">
        <v>83</v>
      </c>
      <c r="B67" s="50" t="s">
        <v>142</v>
      </c>
      <c r="O67" s="1"/>
      <c r="P67" s="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s="25" customFormat="1" ht="18.75">
      <c r="A68" s="71"/>
      <c r="B68" s="50" t="s">
        <v>143</v>
      </c>
      <c r="O68" s="1"/>
      <c r="P68" s="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s="25" customFormat="1" ht="18.75">
      <c r="A69" s="71"/>
      <c r="B69" s="50" t="s">
        <v>144</v>
      </c>
      <c r="O69" s="1"/>
      <c r="P69" s="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s="25" customFormat="1" ht="18.75">
      <c r="A70" s="71"/>
      <c r="K70" s="50"/>
      <c r="O70" s="1"/>
      <c r="P70" s="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8:26" s="25" customFormat="1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s="25" customFormat="1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s="25" customFormat="1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5" ht="12.75">
      <c r="R74" s="11"/>
      <c r="S74" s="11"/>
      <c r="T74" s="11"/>
      <c r="U74" s="11"/>
      <c r="V74" s="11"/>
      <c r="W74" s="11"/>
      <c r="X74" s="11"/>
      <c r="Y74" s="11"/>
    </row>
    <row r="75" spans="18:25" ht="12.75">
      <c r="R75" s="11"/>
      <c r="S75" s="11"/>
      <c r="T75" s="11"/>
      <c r="U75" s="11"/>
      <c r="V75" s="11"/>
      <c r="W75" s="11"/>
      <c r="X75" s="11"/>
      <c r="Y75" s="11"/>
    </row>
    <row r="76" spans="18:25" ht="12.75">
      <c r="R76" s="5"/>
      <c r="S76" s="5"/>
      <c r="T76" s="5"/>
      <c r="U76" s="5"/>
      <c r="V76" s="5"/>
      <c r="W76" s="5"/>
      <c r="X76" s="5"/>
      <c r="Y76" s="5"/>
    </row>
    <row r="77" spans="18:25" ht="12.75">
      <c r="R77" s="6"/>
      <c r="S77" s="6"/>
      <c r="T77" s="6"/>
      <c r="U77" s="6"/>
      <c r="V77" s="6"/>
      <c r="W77" s="6"/>
      <c r="X77" s="6"/>
      <c r="Y77" s="6"/>
    </row>
    <row r="78" spans="18:25" s="2" customFormat="1" ht="12.75">
      <c r="R78" s="7"/>
      <c r="S78" s="7"/>
      <c r="T78" s="7"/>
      <c r="U78" s="7"/>
      <c r="V78" s="7"/>
      <c r="W78" s="7"/>
      <c r="X78" s="7"/>
      <c r="Y78" s="7"/>
    </row>
    <row r="80" spans="18:25" s="2" customFormat="1" ht="12.75">
      <c r="R80" s="7"/>
      <c r="S80" s="7"/>
      <c r="T80" s="7"/>
      <c r="U80" s="7"/>
      <c r="V80" s="7"/>
      <c r="W80" s="7"/>
      <c r="X80" s="7"/>
      <c r="Y80" s="7"/>
    </row>
    <row r="81" spans="18:25" s="2" customFormat="1" ht="12.75">
      <c r="R81" s="7"/>
      <c r="S81" s="7"/>
      <c r="T81" s="7"/>
      <c r="U81" s="7"/>
      <c r="V81" s="7"/>
      <c r="W81" s="7"/>
      <c r="X81" s="7"/>
      <c r="Y81" s="7"/>
    </row>
    <row r="82" spans="18:25" ht="12.75">
      <c r="R82" s="7"/>
      <c r="S82" s="7"/>
      <c r="T82" s="7"/>
      <c r="U82" s="7"/>
      <c r="V82" s="7"/>
      <c r="W82" s="7"/>
      <c r="X82" s="7"/>
      <c r="Y82" s="7"/>
    </row>
    <row r="85" spans="18:25" s="2" customFormat="1" ht="12.75">
      <c r="R85" s="7"/>
      <c r="S85" s="7"/>
      <c r="T85" s="7"/>
      <c r="U85" s="7"/>
      <c r="V85" s="7"/>
      <c r="W85" s="7"/>
      <c r="X85" s="7"/>
      <c r="Y85" s="7"/>
    </row>
    <row r="91" spans="18:25" ht="12.75">
      <c r="R91" s="7"/>
      <c r="S91" s="7"/>
      <c r="T91" s="7"/>
      <c r="U91" s="7"/>
      <c r="V91" s="7"/>
      <c r="W91" s="7"/>
      <c r="X91" s="7"/>
      <c r="Y91" s="7"/>
    </row>
    <row r="92" spans="18:25" ht="12.75">
      <c r="R92" s="5"/>
      <c r="S92" s="5"/>
      <c r="T92" s="5"/>
      <c r="U92" s="5"/>
      <c r="V92" s="5"/>
      <c r="W92" s="5"/>
      <c r="X92" s="5"/>
      <c r="Y92" s="5"/>
    </row>
    <row r="93" spans="18:25" ht="12.75">
      <c r="R93" s="5"/>
      <c r="S93" s="5"/>
      <c r="T93" s="5"/>
      <c r="U93" s="5"/>
      <c r="V93" s="5"/>
      <c r="W93" s="5"/>
      <c r="X93" s="5"/>
      <c r="Y93" s="5"/>
    </row>
    <row r="94" spans="18:25" s="2" customFormat="1" ht="12.75">
      <c r="R94" s="7"/>
      <c r="S94" s="7"/>
      <c r="T94" s="7"/>
      <c r="U94" s="7"/>
      <c r="V94" s="7"/>
      <c r="W94" s="7"/>
      <c r="X94" s="7"/>
      <c r="Y94" s="7"/>
    </row>
    <row r="97" spans="18:25" ht="12.75">
      <c r="R97" s="5"/>
      <c r="S97" s="5"/>
      <c r="T97" s="5"/>
      <c r="U97" s="5"/>
      <c r="V97" s="5"/>
      <c r="W97" s="5"/>
      <c r="X97" s="5"/>
      <c r="Y97" s="5"/>
    </row>
    <row r="98" spans="18:25" ht="12.75">
      <c r="R98" s="5"/>
      <c r="S98" s="5"/>
      <c r="T98" s="5"/>
      <c r="U98" s="5"/>
      <c r="V98" s="5"/>
      <c r="W98" s="5"/>
      <c r="X98" s="5"/>
      <c r="Y98" s="5"/>
    </row>
    <row r="99" spans="18:25" ht="12.75">
      <c r="R99" s="6"/>
      <c r="S99" s="6"/>
      <c r="T99" s="6"/>
      <c r="U99" s="6"/>
      <c r="V99" s="6"/>
      <c r="W99" s="6"/>
      <c r="X99" s="6"/>
      <c r="Y99" s="6"/>
    </row>
    <row r="101" spans="18:25" s="2" customFormat="1" ht="12.75">
      <c r="R101" s="7"/>
      <c r="S101" s="7"/>
      <c r="T101" s="7"/>
      <c r="U101" s="7"/>
      <c r="V101" s="7"/>
      <c r="W101" s="7"/>
      <c r="X101" s="7"/>
      <c r="Y101" s="7"/>
    </row>
    <row r="103" spans="18:25" s="2" customFormat="1" ht="12.75">
      <c r="R103" s="7"/>
      <c r="S103" s="7"/>
      <c r="T103" s="7"/>
      <c r="U103" s="7"/>
      <c r="V103" s="7"/>
      <c r="W103" s="7"/>
      <c r="X103" s="7"/>
      <c r="Y103" s="7"/>
    </row>
    <row r="107" spans="18:25" ht="12.75">
      <c r="R107" s="15"/>
      <c r="S107" s="15"/>
      <c r="T107" s="15"/>
      <c r="U107" s="15"/>
      <c r="V107" s="15"/>
      <c r="W107" s="15"/>
      <c r="X107" s="15"/>
      <c r="Y107" s="15"/>
    </row>
    <row r="108" spans="18:25" ht="12.75">
      <c r="R108" s="13"/>
      <c r="S108" s="13"/>
      <c r="T108" s="13"/>
      <c r="U108" s="13"/>
      <c r="V108" s="13"/>
      <c r="W108" s="13"/>
      <c r="X108" s="13"/>
      <c r="Y108" s="13"/>
    </row>
    <row r="110" spans="18:25" s="2" customFormat="1" ht="12.75">
      <c r="R110" s="9"/>
      <c r="S110" s="9"/>
      <c r="T110" s="9"/>
      <c r="U110" s="9"/>
      <c r="V110" s="9"/>
      <c r="W110" s="9"/>
      <c r="X110" s="9"/>
      <c r="Y110" s="9"/>
    </row>
    <row r="112" spans="18:25" s="2" customFormat="1" ht="12.75">
      <c r="R112" s="7"/>
      <c r="S112" s="7"/>
      <c r="T112" s="7"/>
      <c r="U112" s="7"/>
      <c r="V112" s="7"/>
      <c r="W112" s="7"/>
      <c r="X112" s="7"/>
      <c r="Y112" s="7"/>
    </row>
    <row r="113" spans="18:25" ht="12.75">
      <c r="R113" s="5"/>
      <c r="S113" s="5"/>
      <c r="T113" s="5"/>
      <c r="U113" s="5"/>
      <c r="V113" s="5"/>
      <c r="W113" s="5"/>
      <c r="X113" s="5"/>
      <c r="Y113" s="5"/>
    </row>
    <row r="115" spans="18:25" ht="12.75">
      <c r="R115" s="11"/>
      <c r="S115" s="11"/>
      <c r="T115" s="11"/>
      <c r="U115" s="11"/>
      <c r="V115" s="11"/>
      <c r="W115" s="11"/>
      <c r="X115" s="11"/>
      <c r="Y115" s="11"/>
    </row>
    <row r="117" spans="18:25" s="2" customFormat="1" ht="12.75">
      <c r="R117" s="9"/>
      <c r="S117" s="9"/>
      <c r="T117" s="9"/>
      <c r="U117" s="9"/>
      <c r="V117" s="9"/>
      <c r="W117" s="9"/>
      <c r="X117" s="9"/>
      <c r="Y117" s="9"/>
    </row>
    <row r="121" spans="18:25" ht="12.75">
      <c r="R121" s="5"/>
      <c r="S121" s="5"/>
      <c r="T121" s="5"/>
      <c r="U121" s="5"/>
      <c r="V121" s="5"/>
      <c r="W121" s="5"/>
      <c r="X121" s="5"/>
      <c r="Y121" s="5"/>
    </row>
    <row r="122" spans="18:25" ht="12.75">
      <c r="R122" s="6"/>
      <c r="S122" s="6"/>
      <c r="T122" s="6"/>
      <c r="U122" s="6"/>
      <c r="V122" s="6"/>
      <c r="W122" s="6"/>
      <c r="X122" s="6"/>
      <c r="Y122" s="6"/>
    </row>
    <row r="123" spans="18:25" s="2" customFormat="1" ht="12.75">
      <c r="R123" s="16"/>
      <c r="S123" s="16"/>
      <c r="T123" s="16"/>
      <c r="U123" s="16"/>
      <c r="V123" s="16"/>
      <c r="W123" s="16"/>
      <c r="X123" s="16"/>
      <c r="Y123" s="16"/>
    </row>
    <row r="125" spans="18:25" ht="12.75">
      <c r="R125" s="5"/>
      <c r="S125" s="5"/>
      <c r="T125" s="5"/>
      <c r="U125" s="5"/>
      <c r="V125" s="5"/>
      <c r="W125" s="5"/>
      <c r="X125" s="5"/>
      <c r="Y125" s="5"/>
    </row>
    <row r="126" spans="18:25" ht="12.75">
      <c r="R126" s="6"/>
      <c r="S126" s="6"/>
      <c r="T126" s="6"/>
      <c r="U126" s="6"/>
      <c r="V126" s="6"/>
      <c r="W126" s="6"/>
      <c r="X126" s="6"/>
      <c r="Y126" s="6"/>
    </row>
    <row r="127" spans="18:25" s="2" customFormat="1" ht="12.75">
      <c r="R127" s="16"/>
      <c r="S127" s="16"/>
      <c r="T127" s="16"/>
      <c r="U127" s="16"/>
      <c r="V127" s="16"/>
      <c r="W127" s="16"/>
      <c r="X127" s="16"/>
      <c r="Y127" s="16"/>
    </row>
    <row r="129" spans="18:25" ht="12.75">
      <c r="R129" s="5"/>
      <c r="S129" s="5"/>
      <c r="T129" s="5"/>
      <c r="U129" s="5"/>
      <c r="V129" s="5"/>
      <c r="W129" s="5"/>
      <c r="X129" s="5"/>
      <c r="Y129" s="5"/>
    </row>
    <row r="130" spans="18:25" ht="12.75">
      <c r="R130" s="13"/>
      <c r="S130" s="13"/>
      <c r="T130" s="13"/>
      <c r="U130" s="13"/>
      <c r="V130" s="13"/>
      <c r="W130" s="13"/>
      <c r="X130" s="13"/>
      <c r="Y130" s="13"/>
    </row>
    <row r="131" spans="18:25" s="2" customFormat="1" ht="12.75">
      <c r="R131" s="16"/>
      <c r="S131" s="16"/>
      <c r="T131" s="16"/>
      <c r="U131" s="16"/>
      <c r="V131" s="16"/>
      <c r="W131" s="16"/>
      <c r="X131" s="16"/>
      <c r="Y131" s="16"/>
    </row>
    <row r="133" spans="18:28" ht="12.75">
      <c r="R133" s="11"/>
      <c r="S133" s="11"/>
      <c r="T133" s="11"/>
      <c r="U133" s="11"/>
      <c r="V133" s="11"/>
      <c r="W133" s="11"/>
      <c r="X133" s="11"/>
      <c r="Y133" s="11"/>
      <c r="Z133" s="11"/>
      <c r="AB133" s="11"/>
    </row>
    <row r="134" spans="18:28" ht="12.75">
      <c r="R134" s="6"/>
      <c r="S134" s="6"/>
      <c r="T134" s="6"/>
      <c r="U134" s="6"/>
      <c r="V134" s="6"/>
      <c r="W134" s="6"/>
      <c r="X134" s="6"/>
      <c r="Y134" s="6"/>
      <c r="Z134" s="6"/>
      <c r="AB134" s="6"/>
    </row>
    <row r="135" spans="19:28" s="2" customFormat="1" ht="12.75">
      <c r="S135" s="16"/>
      <c r="T135" s="16"/>
      <c r="U135" s="16"/>
      <c r="V135" s="16"/>
      <c r="W135" s="16"/>
      <c r="X135" s="16"/>
      <c r="Y135" s="16"/>
      <c r="Z135" s="16"/>
      <c r="AB135" s="16"/>
    </row>
    <row r="137" spans="18:28" ht="12.75">
      <c r="R137" s="11"/>
      <c r="S137" s="11"/>
      <c r="T137" s="11"/>
      <c r="U137" s="11"/>
      <c r="V137" s="11"/>
      <c r="W137" s="11"/>
      <c r="X137" s="11"/>
      <c r="Y137" s="11"/>
      <c r="Z137" s="11"/>
      <c r="AB137" s="11"/>
    </row>
    <row r="138" spans="18:28" ht="12.75">
      <c r="R138" s="6"/>
      <c r="S138" s="6"/>
      <c r="T138" s="6"/>
      <c r="U138" s="6"/>
      <c r="V138" s="6"/>
      <c r="W138" s="6"/>
      <c r="X138" s="6"/>
      <c r="Y138" s="6"/>
      <c r="Z138" s="6"/>
      <c r="AB138" s="6"/>
    </row>
    <row r="139" spans="18:28" s="2" customFormat="1" ht="12.75">
      <c r="R139" s="10"/>
      <c r="S139" s="10"/>
      <c r="T139" s="10"/>
      <c r="U139" s="10"/>
      <c r="V139" s="10"/>
      <c r="W139" s="10"/>
      <c r="X139" s="10"/>
      <c r="Y139" s="10"/>
      <c r="Z139" s="10"/>
      <c r="AB139" s="10"/>
    </row>
    <row r="141" spans="18:28" ht="12.75">
      <c r="R141" s="11"/>
      <c r="S141" s="11"/>
      <c r="T141" s="11"/>
      <c r="U141" s="11"/>
      <c r="V141" s="11"/>
      <c r="W141" s="11"/>
      <c r="X141" s="11"/>
      <c r="Y141" s="11"/>
      <c r="Z141" s="11"/>
      <c r="AB141" s="11"/>
    </row>
    <row r="142" spans="18:28" ht="12.75">
      <c r="R142" s="6"/>
      <c r="S142" s="6"/>
      <c r="T142" s="6"/>
      <c r="U142" s="6"/>
      <c r="V142" s="6"/>
      <c r="W142" s="6"/>
      <c r="X142" s="6"/>
      <c r="Y142" s="6"/>
      <c r="Z142" s="6"/>
      <c r="AB142" s="6"/>
    </row>
    <row r="143" spans="18:28" s="2" customFormat="1" ht="12.75">
      <c r="R143" s="10"/>
      <c r="S143" s="10"/>
      <c r="T143" s="10"/>
      <c r="U143" s="10"/>
      <c r="V143" s="10"/>
      <c r="W143" s="10"/>
      <c r="X143" s="10"/>
      <c r="Y143" s="10"/>
      <c r="Z143" s="10"/>
      <c r="AB143" s="10"/>
    </row>
    <row r="149" spans="6:25" ht="12.75"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6:25" ht="12.75">
      <c r="F150" s="47"/>
      <c r="G150" s="47"/>
      <c r="H150" s="47"/>
      <c r="I150" s="47"/>
      <c r="J150" s="47"/>
      <c r="K150" s="47"/>
      <c r="L150" s="47"/>
      <c r="M150" s="47"/>
      <c r="N150" s="3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</row>
    <row r="151" spans="6:25" ht="12.75">
      <c r="F151" s="17"/>
      <c r="G151" s="17"/>
      <c r="H151" s="17"/>
      <c r="I151" s="17"/>
      <c r="J151" s="17"/>
      <c r="K151" s="17"/>
      <c r="L151" s="17"/>
      <c r="M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6:18" ht="12.75">
      <c r="F152" s="18"/>
      <c r="R152" s="18"/>
    </row>
    <row r="154" spans="6:25" ht="12.75">
      <c r="F154" s="17"/>
      <c r="G154" s="17"/>
      <c r="H154" s="17"/>
      <c r="I154" s="17"/>
      <c r="J154" s="17"/>
      <c r="K154" s="17"/>
      <c r="L154" s="17"/>
      <c r="M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6" spans="1:25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2.7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12.75">
      <c r="A159" s="20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12.75">
      <c r="A160" s="19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1:25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12.75">
      <c r="A163" s="19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1:25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8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23"/>
      <c r="AB166" s="23"/>
    </row>
    <row r="167" spans="2:25" ht="12.7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1:25" ht="12.75">
      <c r="A168" s="26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1:25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1:25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1:25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2.75">
      <c r="A172" s="25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</row>
    <row r="174" spans="1:25" ht="12.75">
      <c r="A174" s="19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1:28" ht="12.75">
      <c r="A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23"/>
      <c r="AB175" s="23"/>
    </row>
    <row r="177" ht="12.75">
      <c r="A177" s="2"/>
    </row>
    <row r="179" ht="12.75">
      <c r="A179" s="28"/>
    </row>
    <row r="181" spans="2:28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B181" s="5"/>
    </row>
    <row r="183" ht="12.75">
      <c r="B183" s="12"/>
    </row>
    <row r="184" ht="12.75">
      <c r="B184" s="8"/>
    </row>
    <row r="186" ht="12.75">
      <c r="B186" s="12"/>
    </row>
    <row r="188" ht="12.75">
      <c r="B188" s="23"/>
    </row>
    <row r="189" ht="12.75">
      <c r="B189" s="46"/>
    </row>
    <row r="190" ht="12.75">
      <c r="B190" s="11"/>
    </row>
    <row r="192" ht="12.75">
      <c r="B192" s="5"/>
    </row>
    <row r="193" ht="12.75">
      <c r="B193" s="8"/>
    </row>
    <row r="195" spans="1:2" ht="12.75">
      <c r="A195" s="28"/>
      <c r="B195" s="12"/>
    </row>
    <row r="196" spans="1:2" ht="12.75">
      <c r="A196" s="28"/>
      <c r="B196" s="17"/>
    </row>
    <row r="198" ht="12.75">
      <c r="B198" s="29"/>
    </row>
  </sheetData>
  <sheetProtection/>
  <mergeCells count="1">
    <mergeCell ref="B1:P1"/>
  </mergeCells>
  <printOptions horizontalCentered="1"/>
  <pageMargins left="0.31496062992125984" right="0.31496062992125984" top="0.5905511811023623" bottom="0" header="0" footer="0.5118110236220472"/>
  <pageSetup fitToHeight="1" fitToWidth="1" orientation="landscape" scale="63" r:id="rId1"/>
  <headerFooter alignWithMargins="0">
    <oddHeader>&amp;C&amp;"Times New Roman,Bold"&amp;11Acme Wilderness Resort
Diversified Forecast Statement
&amp;R&amp;"Times New Roman,Bold"&amp;11Consolidated  Model</oddHeader>
    <oddFooter>&amp;R&amp;P</oddFooter>
  </headerFooter>
  <rowBreaks count="2" manualBreakCount="2">
    <brk id="148" max="65535" man="1"/>
    <brk id="174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zoomScalePageLayoutView="0" workbookViewId="0" topLeftCell="A1">
      <selection activeCell="E5" sqref="E5"/>
    </sheetView>
  </sheetViews>
  <sheetFormatPr defaultColWidth="9.33203125" defaultRowHeight="12.75"/>
  <cols>
    <col min="1" max="1" width="26.83203125" style="0" customWidth="1"/>
    <col min="2" max="13" width="9.5" style="0" bestFit="1" customWidth="1"/>
    <col min="14" max="15" width="10" style="0" bestFit="1" customWidth="1"/>
  </cols>
  <sheetData>
    <row r="1" spans="2:39" ht="12.75"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</row>
    <row r="2" spans="2:39" ht="12.75">
      <c r="B2" s="31" t="s">
        <v>48</v>
      </c>
      <c r="C2" s="31" t="s">
        <v>49</v>
      </c>
      <c r="D2" s="31" t="s">
        <v>50</v>
      </c>
      <c r="E2" s="31" t="s">
        <v>51</v>
      </c>
      <c r="F2" s="31" t="s">
        <v>52</v>
      </c>
      <c r="G2" s="31" t="s">
        <v>53</v>
      </c>
      <c r="H2" s="31" t="s">
        <v>54</v>
      </c>
      <c r="I2" s="31" t="s">
        <v>55</v>
      </c>
      <c r="J2" s="31" t="s">
        <v>56</v>
      </c>
      <c r="K2" s="31" t="s">
        <v>57</v>
      </c>
      <c r="L2" s="31" t="s">
        <v>58</v>
      </c>
      <c r="M2" s="31" t="s">
        <v>59</v>
      </c>
      <c r="N2" s="78" t="s">
        <v>155</v>
      </c>
      <c r="O2" s="78" t="s">
        <v>156</v>
      </c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</row>
    <row r="3" spans="1:39" ht="12.75" customHeight="1">
      <c r="A3" s="77" t="s">
        <v>145</v>
      </c>
      <c r="B3" s="25"/>
      <c r="C3" s="25"/>
      <c r="D3" s="25"/>
      <c r="E3" s="25"/>
      <c r="F3" s="25"/>
      <c r="G3" s="25"/>
      <c r="H3" s="25"/>
      <c r="I3" s="25"/>
      <c r="J3" s="25"/>
      <c r="K3" s="76"/>
      <c r="L3" s="25"/>
      <c r="M3" s="25"/>
      <c r="N3" s="1"/>
      <c r="O3" s="1"/>
      <c r="P3" s="58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</row>
    <row r="4" spans="1:39" ht="12.75" customHeight="1">
      <c r="A4" s="77"/>
      <c r="B4" s="25"/>
      <c r="C4" s="25"/>
      <c r="D4" s="25"/>
      <c r="E4" s="25"/>
      <c r="F4" s="25"/>
      <c r="G4" s="25"/>
      <c r="H4" s="25"/>
      <c r="I4" s="25"/>
      <c r="J4" s="25"/>
      <c r="K4" s="76"/>
      <c r="L4" s="25"/>
      <c r="M4" s="25"/>
      <c r="N4" s="1"/>
      <c r="O4" s="1"/>
      <c r="P4" s="58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</row>
    <row r="5" spans="1:39" ht="12.75" customHeight="1">
      <c r="A5" s="225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76"/>
      <c r="L5" s="25"/>
      <c r="M5" s="25"/>
      <c r="N5" s="1"/>
      <c r="O5" s="1"/>
      <c r="P5" s="58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</row>
    <row r="6" spans="1:39" ht="12.75">
      <c r="A6" s="219" t="s">
        <v>16</v>
      </c>
      <c r="B6" s="305">
        <v>100</v>
      </c>
      <c r="C6" s="305">
        <v>100</v>
      </c>
      <c r="D6" s="305">
        <v>100</v>
      </c>
      <c r="E6" s="305"/>
      <c r="F6" s="305"/>
      <c r="G6" s="305"/>
      <c r="H6" s="305"/>
      <c r="I6" s="305"/>
      <c r="J6" s="305"/>
      <c r="K6" s="305"/>
      <c r="L6" s="305"/>
      <c r="M6" s="305"/>
      <c r="N6" s="306">
        <f>M6+'New 1'!O$2</f>
        <v>0.04</v>
      </c>
      <c r="O6" s="306">
        <f>N6+'New 1'!P$2</f>
        <v>0.07</v>
      </c>
      <c r="P6" s="15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</row>
    <row r="7" spans="1:39" ht="12.75">
      <c r="A7" s="219" t="s">
        <v>17</v>
      </c>
      <c r="B7" s="306">
        <v>100</v>
      </c>
      <c r="C7" s="306">
        <v>100</v>
      </c>
      <c r="D7" s="306">
        <v>100</v>
      </c>
      <c r="E7" s="306"/>
      <c r="F7" s="306"/>
      <c r="G7" s="306"/>
      <c r="H7" s="306"/>
      <c r="I7" s="306"/>
      <c r="J7" s="306"/>
      <c r="K7" s="306"/>
      <c r="L7" s="306"/>
      <c r="M7" s="306"/>
      <c r="N7" s="306">
        <f>M7+'New 1'!O$2</f>
        <v>0.04</v>
      </c>
      <c r="O7" s="306">
        <f>N7+'New 1'!P$2</f>
        <v>0.07</v>
      </c>
      <c r="P7" s="15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</row>
    <row r="8" spans="1:39" ht="12.75">
      <c r="A8" s="219" t="s">
        <v>18</v>
      </c>
      <c r="B8" s="306">
        <v>100</v>
      </c>
      <c r="C8" s="306">
        <f>B8</f>
        <v>100</v>
      </c>
      <c r="D8" s="306">
        <f>C8</f>
        <v>100</v>
      </c>
      <c r="E8" s="306"/>
      <c r="F8" s="306"/>
      <c r="G8" s="306"/>
      <c r="H8" s="306"/>
      <c r="I8" s="306"/>
      <c r="J8" s="306"/>
      <c r="K8" s="306"/>
      <c r="L8" s="306"/>
      <c r="M8" s="306"/>
      <c r="N8" s="306">
        <f>M8+'New 1'!O$2</f>
        <v>0.04</v>
      </c>
      <c r="O8" s="306">
        <f>N8+'New 1'!P$2</f>
        <v>0.07</v>
      </c>
      <c r="P8" s="226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</row>
    <row r="9" spans="1:39" ht="12.75">
      <c r="A9" s="219" t="s">
        <v>19</v>
      </c>
      <c r="B9" s="307">
        <v>100</v>
      </c>
      <c r="C9" s="307">
        <v>100</v>
      </c>
      <c r="D9" s="307">
        <v>100</v>
      </c>
      <c r="E9" s="307"/>
      <c r="F9" s="307"/>
      <c r="G9" s="307"/>
      <c r="H9" s="307"/>
      <c r="I9" s="307"/>
      <c r="J9" s="307"/>
      <c r="K9" s="307"/>
      <c r="L9" s="307"/>
      <c r="M9" s="307"/>
      <c r="N9" s="306">
        <f>M9+'New 1'!O$2</f>
        <v>0.04</v>
      </c>
      <c r="O9" s="306">
        <f>N9+'New 1'!P$2</f>
        <v>0.07</v>
      </c>
      <c r="P9" s="226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</row>
    <row r="10" spans="1:39" s="113" customFormat="1" ht="12.75">
      <c r="A10" s="224" t="s">
        <v>20</v>
      </c>
      <c r="B10" s="233">
        <f>SUM(B6:B9)</f>
        <v>400</v>
      </c>
      <c r="C10" s="233">
        <f aca="true" t="shared" si="0" ref="C10:O10">SUM(C6:C9)</f>
        <v>400</v>
      </c>
      <c r="D10" s="233">
        <f t="shared" si="0"/>
        <v>400</v>
      </c>
      <c r="E10" s="233">
        <f t="shared" si="0"/>
        <v>0</v>
      </c>
      <c r="F10" s="233">
        <f t="shared" si="0"/>
        <v>0</v>
      </c>
      <c r="G10" s="233">
        <f t="shared" si="0"/>
        <v>0</v>
      </c>
      <c r="H10" s="233">
        <f t="shared" si="0"/>
        <v>0</v>
      </c>
      <c r="I10" s="233">
        <f t="shared" si="0"/>
        <v>0</v>
      </c>
      <c r="J10" s="233">
        <f t="shared" si="0"/>
        <v>0</v>
      </c>
      <c r="K10" s="233">
        <f t="shared" si="0"/>
        <v>0</v>
      </c>
      <c r="L10" s="233">
        <f t="shared" si="0"/>
        <v>0</v>
      </c>
      <c r="M10" s="233">
        <f t="shared" si="0"/>
        <v>0</v>
      </c>
      <c r="N10" s="233">
        <f t="shared" si="0"/>
        <v>0.16</v>
      </c>
      <c r="O10" s="233">
        <f t="shared" si="0"/>
        <v>0.28</v>
      </c>
      <c r="P10" s="238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</row>
    <row r="11" spans="1:39" ht="12.75">
      <c r="A11" s="1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3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</row>
    <row r="12" spans="1:39" ht="12.75">
      <c r="A12" s="219" t="s">
        <v>21</v>
      </c>
      <c r="B12" s="308">
        <v>10000</v>
      </c>
      <c r="C12" s="308">
        <f>B14</f>
        <v>10000</v>
      </c>
      <c r="D12" s="308">
        <f>C14</f>
        <v>10000</v>
      </c>
      <c r="E12" s="309"/>
      <c r="F12" s="309"/>
      <c r="G12" s="309"/>
      <c r="H12" s="309"/>
      <c r="I12" s="309"/>
      <c r="J12" s="309"/>
      <c r="K12" s="309"/>
      <c r="L12" s="309"/>
      <c r="M12" s="309"/>
      <c r="N12" s="306">
        <f>M12+'New 1'!O$2</f>
        <v>0.04</v>
      </c>
      <c r="O12" s="306">
        <f>N12+'New 1'!P$2</f>
        <v>0.07</v>
      </c>
      <c r="P12" s="238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</row>
    <row r="13" spans="1:39" ht="12.75">
      <c r="A13" s="219" t="s">
        <v>147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6">
        <f>M13+'New 1'!O$2</f>
        <v>0.04</v>
      </c>
      <c r="O13" s="306">
        <f>N13+'New 1'!P$2</f>
        <v>0.07</v>
      </c>
      <c r="P13" s="238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</row>
    <row r="14" spans="1:39" s="113" customFormat="1" ht="12.75">
      <c r="A14" s="224" t="s">
        <v>22</v>
      </c>
      <c r="B14" s="233">
        <f>SUM(B12:B13)</f>
        <v>10000</v>
      </c>
      <c r="C14" s="233">
        <f aca="true" t="shared" si="1" ref="C14:O14">SUM(C12:C13)</f>
        <v>10000</v>
      </c>
      <c r="D14" s="233">
        <f t="shared" si="1"/>
        <v>10000</v>
      </c>
      <c r="E14" s="233">
        <f t="shared" si="1"/>
        <v>0</v>
      </c>
      <c r="F14" s="233">
        <f t="shared" si="1"/>
        <v>0</v>
      </c>
      <c r="G14" s="233">
        <f t="shared" si="1"/>
        <v>0</v>
      </c>
      <c r="H14" s="233">
        <f t="shared" si="1"/>
        <v>0</v>
      </c>
      <c r="I14" s="233">
        <f t="shared" si="1"/>
        <v>0</v>
      </c>
      <c r="J14" s="233">
        <f t="shared" si="1"/>
        <v>0</v>
      </c>
      <c r="K14" s="233">
        <f t="shared" si="1"/>
        <v>0</v>
      </c>
      <c r="L14" s="233">
        <f t="shared" si="1"/>
        <v>0</v>
      </c>
      <c r="M14" s="233">
        <f t="shared" si="1"/>
        <v>0</v>
      </c>
      <c r="N14" s="233">
        <f t="shared" si="1"/>
        <v>0.08</v>
      </c>
      <c r="O14" s="233">
        <f t="shared" si="1"/>
        <v>0.14</v>
      </c>
      <c r="P14" s="238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</row>
    <row r="15" spans="1:39" ht="12.75">
      <c r="A15" s="1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3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</row>
    <row r="16" spans="1:39" s="231" customFormat="1" ht="12.75">
      <c r="A16" s="230" t="s">
        <v>146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4">
        <f>M16+'New 1'!O$2</f>
        <v>0.04</v>
      </c>
      <c r="O16" s="234">
        <f>N16+'New 1'!P$2</f>
        <v>0.07</v>
      </c>
      <c r="P16" s="3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</row>
    <row r="17" spans="1:39" s="131" customFormat="1" ht="13.5" thickBot="1">
      <c r="A17" s="223" t="s">
        <v>23</v>
      </c>
      <c r="B17" s="235">
        <f>B10+B14+B16</f>
        <v>10400</v>
      </c>
      <c r="C17" s="235">
        <f aca="true" t="shared" si="2" ref="C17:O17">C10+C14+C16</f>
        <v>10400</v>
      </c>
      <c r="D17" s="235">
        <f t="shared" si="2"/>
        <v>10400</v>
      </c>
      <c r="E17" s="235">
        <f t="shared" si="2"/>
        <v>0</v>
      </c>
      <c r="F17" s="235">
        <f t="shared" si="2"/>
        <v>0</v>
      </c>
      <c r="G17" s="235">
        <f t="shared" si="2"/>
        <v>0</v>
      </c>
      <c r="H17" s="235">
        <f t="shared" si="2"/>
        <v>0</v>
      </c>
      <c r="I17" s="235">
        <f t="shared" si="2"/>
        <v>0</v>
      </c>
      <c r="J17" s="235">
        <f t="shared" si="2"/>
        <v>0</v>
      </c>
      <c r="K17" s="235">
        <f t="shared" si="2"/>
        <v>0</v>
      </c>
      <c r="L17" s="235">
        <f t="shared" si="2"/>
        <v>0</v>
      </c>
      <c r="M17" s="235">
        <f t="shared" si="2"/>
        <v>0</v>
      </c>
      <c r="N17" s="235">
        <f t="shared" si="2"/>
        <v>0.27999999999999997</v>
      </c>
      <c r="O17" s="235">
        <f t="shared" si="2"/>
        <v>0.49000000000000005</v>
      </c>
      <c r="P17" s="238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</row>
    <row r="18" spans="1:39" ht="12.75">
      <c r="A18" s="1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3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</row>
    <row r="19" spans="1:39" ht="12.75" customHeight="1">
      <c r="A19" s="2" t="s">
        <v>24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3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</row>
    <row r="20" spans="1:39" ht="12.75">
      <c r="A20" s="1"/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3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</row>
    <row r="21" spans="1:39" s="227" customFormat="1" ht="12.75" customHeight="1">
      <c r="A21" s="225" t="s">
        <v>25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3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</row>
    <row r="22" spans="1:39" ht="12.75">
      <c r="A22" s="221" t="s">
        <v>148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>
        <f>M22+'New 1'!O$2</f>
        <v>0.04</v>
      </c>
      <c r="O22" s="306">
        <f>N22+'New 1'!P$2</f>
        <v>0.07</v>
      </c>
      <c r="P22" s="3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</row>
    <row r="23" spans="1:39" ht="12.75">
      <c r="A23" s="221" t="s">
        <v>26</v>
      </c>
      <c r="B23" s="306">
        <v>100</v>
      </c>
      <c r="C23" s="306">
        <v>100</v>
      </c>
      <c r="D23" s="306">
        <v>100</v>
      </c>
      <c r="E23" s="306"/>
      <c r="F23" s="306"/>
      <c r="G23" s="306"/>
      <c r="H23" s="306"/>
      <c r="I23" s="306"/>
      <c r="J23" s="306"/>
      <c r="K23" s="306"/>
      <c r="L23" s="306"/>
      <c r="M23" s="306"/>
      <c r="N23" s="306">
        <f>M23+'New 1'!O$2</f>
        <v>0.04</v>
      </c>
      <c r="O23" s="306">
        <f>N23+'New 1'!P$2</f>
        <v>0.07</v>
      </c>
      <c r="P23" s="238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</row>
    <row r="24" spans="1:39" ht="12.75">
      <c r="A24" s="222" t="s">
        <v>27</v>
      </c>
      <c r="B24" s="306">
        <v>100</v>
      </c>
      <c r="C24" s="306">
        <v>100</v>
      </c>
      <c r="D24" s="306">
        <v>100</v>
      </c>
      <c r="E24" s="306"/>
      <c r="F24" s="306"/>
      <c r="G24" s="306"/>
      <c r="H24" s="306"/>
      <c r="I24" s="306"/>
      <c r="J24" s="306"/>
      <c r="K24" s="306"/>
      <c r="L24" s="306"/>
      <c r="M24" s="306"/>
      <c r="N24" s="306">
        <f>M24+'New 1'!O$2</f>
        <v>0.04</v>
      </c>
      <c r="O24" s="306">
        <f>N24+'New 1'!P$2</f>
        <v>0.07</v>
      </c>
      <c r="P24" s="226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</row>
    <row r="25" spans="1:39" ht="12.75">
      <c r="A25" s="222" t="s">
        <v>188</v>
      </c>
      <c r="B25" s="306">
        <v>100</v>
      </c>
      <c r="C25" s="306">
        <v>100</v>
      </c>
      <c r="D25" s="306">
        <v>100</v>
      </c>
      <c r="E25" s="306"/>
      <c r="F25" s="306"/>
      <c r="G25" s="306"/>
      <c r="H25" s="306"/>
      <c r="I25" s="306"/>
      <c r="J25" s="306"/>
      <c r="K25" s="306"/>
      <c r="L25" s="306"/>
      <c r="M25" s="306"/>
      <c r="N25" s="306">
        <f>M25+'New 1'!O$2</f>
        <v>0.04</v>
      </c>
      <c r="O25" s="306">
        <f>N25+'New 1'!P$2</f>
        <v>0.07</v>
      </c>
      <c r="P25" s="226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</row>
    <row r="26" spans="1:39" s="113" customFormat="1" ht="12.75">
      <c r="A26" s="224" t="s">
        <v>28</v>
      </c>
      <c r="B26" s="233">
        <f>SUM(B23:B25)</f>
        <v>300</v>
      </c>
      <c r="C26" s="233">
        <f aca="true" t="shared" si="3" ref="C26:O26">SUM(C23:C25)</f>
        <v>300</v>
      </c>
      <c r="D26" s="233">
        <f t="shared" si="3"/>
        <v>300</v>
      </c>
      <c r="E26" s="233">
        <f t="shared" si="3"/>
        <v>0</v>
      </c>
      <c r="F26" s="233">
        <f t="shared" si="3"/>
        <v>0</v>
      </c>
      <c r="G26" s="233">
        <f t="shared" si="3"/>
        <v>0</v>
      </c>
      <c r="H26" s="233">
        <f t="shared" si="3"/>
        <v>0</v>
      </c>
      <c r="I26" s="233">
        <f t="shared" si="3"/>
        <v>0</v>
      </c>
      <c r="J26" s="233">
        <f t="shared" si="3"/>
        <v>0</v>
      </c>
      <c r="K26" s="233">
        <f t="shared" si="3"/>
        <v>0</v>
      </c>
      <c r="L26" s="233">
        <f t="shared" si="3"/>
        <v>0</v>
      </c>
      <c r="M26" s="233">
        <f t="shared" si="3"/>
        <v>0</v>
      </c>
      <c r="N26" s="233">
        <f t="shared" si="3"/>
        <v>0.12</v>
      </c>
      <c r="O26" s="233">
        <f t="shared" si="3"/>
        <v>0.21000000000000002</v>
      </c>
      <c r="P26" s="238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</row>
    <row r="27" spans="1:39" ht="12.75">
      <c r="A27" s="1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3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</row>
    <row r="28" spans="1:39" ht="12.75">
      <c r="A28" s="2" t="s">
        <v>29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3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</row>
    <row r="29" spans="1:39" ht="12.75">
      <c r="A29" s="220" t="s">
        <v>30</v>
      </c>
      <c r="B29" s="306">
        <v>100</v>
      </c>
      <c r="C29" s="306">
        <f>B29</f>
        <v>100</v>
      </c>
      <c r="D29" s="306">
        <f>C29</f>
        <v>100</v>
      </c>
      <c r="E29" s="306"/>
      <c r="F29" s="306"/>
      <c r="G29" s="306"/>
      <c r="H29" s="306"/>
      <c r="I29" s="306"/>
      <c r="J29" s="306"/>
      <c r="K29" s="306"/>
      <c r="L29" s="306"/>
      <c r="M29" s="306"/>
      <c r="N29" s="306">
        <f>M29+'New 1'!O$2</f>
        <v>0.04</v>
      </c>
      <c r="O29" s="306">
        <f>N29+'New 1'!P$2</f>
        <v>0.07</v>
      </c>
      <c r="P29" s="226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</row>
    <row r="30" spans="1:39" ht="12.75">
      <c r="A30" s="220" t="s">
        <v>42</v>
      </c>
      <c r="B30" s="306">
        <v>1000</v>
      </c>
      <c r="C30" s="306">
        <v>1000</v>
      </c>
      <c r="D30" s="306">
        <v>1000</v>
      </c>
      <c r="E30" s="306"/>
      <c r="F30" s="306"/>
      <c r="G30" s="306"/>
      <c r="H30" s="306"/>
      <c r="I30" s="306"/>
      <c r="J30" s="306"/>
      <c r="K30" s="306"/>
      <c r="L30" s="306"/>
      <c r="M30" s="306"/>
      <c r="N30" s="306">
        <f>M30+'New 1'!O$2</f>
        <v>0.04</v>
      </c>
      <c r="O30" s="306">
        <f>N30+'New 1'!P$2</f>
        <v>0.07</v>
      </c>
      <c r="P30" s="226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</row>
    <row r="31" spans="1:39" ht="12.75">
      <c r="A31" s="220" t="s">
        <v>31</v>
      </c>
      <c r="B31" s="307">
        <v>100</v>
      </c>
      <c r="C31" s="307">
        <f>B31</f>
        <v>100</v>
      </c>
      <c r="D31" s="307">
        <f>C31</f>
        <v>100</v>
      </c>
      <c r="E31" s="307"/>
      <c r="F31" s="307"/>
      <c r="G31" s="307"/>
      <c r="H31" s="307"/>
      <c r="I31" s="307"/>
      <c r="J31" s="307"/>
      <c r="K31" s="307"/>
      <c r="L31" s="307"/>
      <c r="M31" s="307"/>
      <c r="N31" s="306">
        <f>M31+'New 1'!O$2</f>
        <v>0.04</v>
      </c>
      <c r="O31" s="306">
        <f>N31+'New 1'!P$2</f>
        <v>0.07</v>
      </c>
      <c r="P31" s="226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</row>
    <row r="32" spans="1:39" s="113" customFormat="1" ht="12.75">
      <c r="A32" s="224" t="s">
        <v>32</v>
      </c>
      <c r="B32" s="233">
        <f>SUM(B29:B31)</f>
        <v>1200</v>
      </c>
      <c r="C32" s="233">
        <f aca="true" t="shared" si="4" ref="C32:O32">SUM(C29:C31)</f>
        <v>1200</v>
      </c>
      <c r="D32" s="233">
        <f t="shared" si="4"/>
        <v>1200</v>
      </c>
      <c r="E32" s="233">
        <f t="shared" si="4"/>
        <v>0</v>
      </c>
      <c r="F32" s="233">
        <f t="shared" si="4"/>
        <v>0</v>
      </c>
      <c r="G32" s="233">
        <f t="shared" si="4"/>
        <v>0</v>
      </c>
      <c r="H32" s="233">
        <f t="shared" si="4"/>
        <v>0</v>
      </c>
      <c r="I32" s="233">
        <f t="shared" si="4"/>
        <v>0</v>
      </c>
      <c r="J32" s="233">
        <f t="shared" si="4"/>
        <v>0</v>
      </c>
      <c r="K32" s="233">
        <f t="shared" si="4"/>
        <v>0</v>
      </c>
      <c r="L32" s="233">
        <f t="shared" si="4"/>
        <v>0</v>
      </c>
      <c r="M32" s="233">
        <f t="shared" si="4"/>
        <v>0</v>
      </c>
      <c r="N32" s="233">
        <f t="shared" si="4"/>
        <v>0.12</v>
      </c>
      <c r="O32" s="233">
        <f t="shared" si="4"/>
        <v>0.21000000000000002</v>
      </c>
      <c r="P32" s="238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</row>
    <row r="33" spans="1:39" ht="12.75">
      <c r="A33" s="1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3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</row>
    <row r="34" spans="1:39" s="229" customFormat="1" ht="12.75">
      <c r="A34" s="228" t="s">
        <v>33</v>
      </c>
      <c r="B34" s="237">
        <f>B26+B32</f>
        <v>1500</v>
      </c>
      <c r="C34" s="237">
        <f aca="true" t="shared" si="5" ref="C34:O34">C26+C32</f>
        <v>1500</v>
      </c>
      <c r="D34" s="237">
        <f t="shared" si="5"/>
        <v>1500</v>
      </c>
      <c r="E34" s="237">
        <f t="shared" si="5"/>
        <v>0</v>
      </c>
      <c r="F34" s="237">
        <f t="shared" si="5"/>
        <v>0</v>
      </c>
      <c r="G34" s="237">
        <f t="shared" si="5"/>
        <v>0</v>
      </c>
      <c r="H34" s="237">
        <f t="shared" si="5"/>
        <v>0</v>
      </c>
      <c r="I34" s="237">
        <f t="shared" si="5"/>
        <v>0</v>
      </c>
      <c r="J34" s="237">
        <f t="shared" si="5"/>
        <v>0</v>
      </c>
      <c r="K34" s="237">
        <f t="shared" si="5"/>
        <v>0</v>
      </c>
      <c r="L34" s="237">
        <f t="shared" si="5"/>
        <v>0</v>
      </c>
      <c r="M34" s="237">
        <f t="shared" si="5"/>
        <v>0</v>
      </c>
      <c r="N34" s="237">
        <f t="shared" si="5"/>
        <v>0.24</v>
      </c>
      <c r="O34" s="237">
        <f t="shared" si="5"/>
        <v>0.42000000000000004</v>
      </c>
      <c r="P34" s="239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</row>
    <row r="35" spans="1:39" ht="12.75">
      <c r="A35" s="1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3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</row>
    <row r="36" spans="1:39" ht="12.75">
      <c r="A36" s="2" t="s">
        <v>34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3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</row>
    <row r="37" spans="1:39" ht="12.75">
      <c r="A37" s="28" t="s">
        <v>35</v>
      </c>
      <c r="B37" s="306">
        <v>0</v>
      </c>
      <c r="C37" s="306">
        <v>0</v>
      </c>
      <c r="D37" s="306">
        <v>0</v>
      </c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</row>
    <row r="38" spans="1:39" ht="12.75">
      <c r="A38" s="28" t="s">
        <v>170</v>
      </c>
      <c r="B38" s="232">
        <f>'Divrsfd -IS'!B62</f>
        <v>0</v>
      </c>
      <c r="C38" s="232">
        <f>'Divrsfd -IS'!C62</f>
        <v>0</v>
      </c>
      <c r="D38" s="232">
        <f>'Divrsfd -IS'!D62</f>
        <v>0</v>
      </c>
      <c r="E38" s="232">
        <f>'Divrsfd -IS'!E62</f>
        <v>-2305.7744705882365</v>
      </c>
      <c r="F38" s="232">
        <f>'Divrsfd -IS'!F62</f>
        <v>4584.023599999999</v>
      </c>
      <c r="G38" s="232">
        <f>'Divrsfd -IS'!G62</f>
        <v>6543.073124999995</v>
      </c>
      <c r="H38" s="232">
        <f>'Divrsfd -IS'!H62</f>
        <v>13992.166624999998</v>
      </c>
      <c r="I38" s="232">
        <f>'Divrsfd -IS'!I62</f>
        <v>14618.84053061224</v>
      </c>
      <c r="J38" s="232">
        <f>'Divrsfd -IS'!J62</f>
        <v>11154.197277049181</v>
      </c>
      <c r="K38" s="232">
        <f>'Divrsfd -IS'!K62</f>
        <v>10398.366404494383</v>
      </c>
      <c r="L38" s="232">
        <f>'Divrsfd -IS'!L62</f>
        <v>0</v>
      </c>
      <c r="M38" s="232">
        <f>'Divrsfd -IS'!M62</f>
        <v>0</v>
      </c>
      <c r="N38" s="232">
        <f>'Divrsfd -IS'!O62</f>
        <v>64137.59832841333</v>
      </c>
      <c r="O38" s="232">
        <f>'Divrsfd -IS'!P62</f>
        <v>67861.21764435433</v>
      </c>
      <c r="P38" s="15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</row>
    <row r="39" spans="1:39" ht="12.75">
      <c r="A39" s="28" t="s">
        <v>36</v>
      </c>
      <c r="B39" s="232">
        <v>0</v>
      </c>
      <c r="C39" s="232">
        <f aca="true" t="shared" si="6" ref="C39:M39">B39+C38</f>
        <v>0</v>
      </c>
      <c r="D39" s="232">
        <f t="shared" si="6"/>
        <v>0</v>
      </c>
      <c r="E39" s="232">
        <f t="shared" si="6"/>
        <v>-2305.7744705882365</v>
      </c>
      <c r="F39" s="232">
        <f t="shared" si="6"/>
        <v>2278.249129411762</v>
      </c>
      <c r="G39" s="232">
        <f t="shared" si="6"/>
        <v>8821.322254411758</v>
      </c>
      <c r="H39" s="232">
        <f t="shared" si="6"/>
        <v>22813.488879411758</v>
      </c>
      <c r="I39" s="232">
        <f t="shared" si="6"/>
        <v>37432.329410024</v>
      </c>
      <c r="J39" s="232">
        <f t="shared" si="6"/>
        <v>48586.52668707319</v>
      </c>
      <c r="K39" s="232">
        <f t="shared" si="6"/>
        <v>58984.893091567574</v>
      </c>
      <c r="L39" s="232">
        <f t="shared" si="6"/>
        <v>58984.893091567574</v>
      </c>
      <c r="M39" s="232">
        <f t="shared" si="6"/>
        <v>58984.893091567574</v>
      </c>
      <c r="N39" s="232">
        <f>M40+N38</f>
        <v>123122.49141998091</v>
      </c>
      <c r="O39" s="232">
        <f>N39+O38</f>
        <v>190983.70906433524</v>
      </c>
      <c r="P39" s="15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</row>
    <row r="40" spans="1:39" s="113" customFormat="1" ht="12.75">
      <c r="A40" s="224" t="s">
        <v>37</v>
      </c>
      <c r="B40" s="233">
        <f aca="true" t="shared" si="7" ref="B40:O40">SUM(B37:B39)</f>
        <v>0</v>
      </c>
      <c r="C40" s="233">
        <f t="shared" si="7"/>
        <v>0</v>
      </c>
      <c r="D40" s="233">
        <f t="shared" si="7"/>
        <v>0</v>
      </c>
      <c r="E40" s="233">
        <f t="shared" si="7"/>
        <v>-4611.548941176473</v>
      </c>
      <c r="F40" s="233">
        <f t="shared" si="7"/>
        <v>6862.272729411761</v>
      </c>
      <c r="G40" s="233">
        <f t="shared" si="7"/>
        <v>15364.395379411753</v>
      </c>
      <c r="H40" s="233">
        <f t="shared" si="7"/>
        <v>36805.655504411756</v>
      </c>
      <c r="I40" s="233">
        <f t="shared" si="7"/>
        <v>52051.169940636246</v>
      </c>
      <c r="J40" s="233">
        <f t="shared" si="7"/>
        <v>59740.72396412237</v>
      </c>
      <c r="K40" s="233">
        <f t="shared" si="7"/>
        <v>69383.25949606196</v>
      </c>
      <c r="L40" s="233">
        <f t="shared" si="7"/>
        <v>58984.893091567574</v>
      </c>
      <c r="M40" s="233">
        <f t="shared" si="7"/>
        <v>58984.893091567574</v>
      </c>
      <c r="N40" s="233">
        <f t="shared" si="7"/>
        <v>187260.08974839424</v>
      </c>
      <c r="O40" s="233">
        <f t="shared" si="7"/>
        <v>258844.92670868957</v>
      </c>
      <c r="P40" s="241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</row>
    <row r="41" spans="1:39" ht="12.75">
      <c r="A41" s="1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3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</row>
    <row r="42" spans="1:39" s="131" customFormat="1" ht="13.5" thickBot="1">
      <c r="A42" s="223" t="s">
        <v>38</v>
      </c>
      <c r="B42" s="235">
        <f aca="true" t="shared" si="8" ref="B42:O42">B34+B40</f>
        <v>1500</v>
      </c>
      <c r="C42" s="235">
        <f t="shared" si="8"/>
        <v>1500</v>
      </c>
      <c r="D42" s="235">
        <f t="shared" si="8"/>
        <v>1500</v>
      </c>
      <c r="E42" s="235">
        <f t="shared" si="8"/>
        <v>-4611.548941176473</v>
      </c>
      <c r="F42" s="235">
        <f t="shared" si="8"/>
        <v>6862.272729411761</v>
      </c>
      <c r="G42" s="235">
        <f t="shared" si="8"/>
        <v>15364.395379411753</v>
      </c>
      <c r="H42" s="235">
        <f t="shared" si="8"/>
        <v>36805.655504411756</v>
      </c>
      <c r="I42" s="235">
        <f t="shared" si="8"/>
        <v>52051.169940636246</v>
      </c>
      <c r="J42" s="235">
        <f t="shared" si="8"/>
        <v>59740.72396412237</v>
      </c>
      <c r="K42" s="235">
        <f t="shared" si="8"/>
        <v>69383.25949606196</v>
      </c>
      <c r="L42" s="235">
        <f t="shared" si="8"/>
        <v>58984.893091567574</v>
      </c>
      <c r="M42" s="235">
        <f t="shared" si="8"/>
        <v>58984.893091567574</v>
      </c>
      <c r="N42" s="235">
        <f t="shared" si="8"/>
        <v>187260.32974839423</v>
      </c>
      <c r="O42" s="235">
        <f t="shared" si="8"/>
        <v>258845.34670868958</v>
      </c>
      <c r="P42" s="238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</row>
    <row r="43" spans="1:39" ht="12.7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226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</row>
    <row r="44" spans="16:39" ht="12.75"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</row>
    <row r="45" spans="16:39" ht="12.75"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</row>
  </sheetData>
  <sheetProtection/>
  <mergeCells count="1">
    <mergeCell ref="B1:O1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360" verticalDpi="360" orientation="landscape" scale="84" r:id="rId1"/>
  <headerFooter alignWithMargins="0">
    <oddHeader>&amp;C&amp;"Times New Roman,Bold"&amp;11Acme Wilderness Resort
Diversified Forecast Balance Sheet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3">
      <selection activeCell="E11" sqref="E11"/>
    </sheetView>
  </sheetViews>
  <sheetFormatPr defaultColWidth="9.33203125" defaultRowHeight="12.75"/>
  <cols>
    <col min="1" max="5" width="14.83203125" style="0" customWidth="1"/>
  </cols>
  <sheetData>
    <row r="1" spans="1:5" ht="23.25" thickBot="1">
      <c r="A1" s="319" t="s">
        <v>186</v>
      </c>
      <c r="B1" s="320"/>
      <c r="C1" s="320"/>
      <c r="D1" s="320"/>
      <c r="E1" s="321"/>
    </row>
    <row r="2" spans="1:5" ht="16.5" thickBot="1">
      <c r="A2" s="173"/>
      <c r="B2" s="173"/>
      <c r="C2" s="173"/>
      <c r="D2" s="173"/>
      <c r="E2" s="173"/>
    </row>
    <row r="3" spans="1:5" ht="15.75">
      <c r="A3" s="174" t="s">
        <v>83</v>
      </c>
      <c r="B3" s="175"/>
      <c r="C3" s="175"/>
      <c r="D3" s="175"/>
      <c r="E3" s="176"/>
    </row>
    <row r="4" spans="1:5" ht="15.75">
      <c r="A4" s="177"/>
      <c r="B4" s="178"/>
      <c r="C4" s="110"/>
      <c r="D4" s="179" t="s">
        <v>171</v>
      </c>
      <c r="E4" s="207">
        <f>'Divrsfd -IS'!N39+'Divrsfd -IS'!N52+'Divrsfd -IS'!N60</f>
        <v>141823.53000000003</v>
      </c>
    </row>
    <row r="5" spans="1:5" ht="15.75">
      <c r="A5" s="177"/>
      <c r="B5" s="178"/>
      <c r="C5" s="110"/>
      <c r="D5" s="179" t="s">
        <v>172</v>
      </c>
      <c r="E5" s="208">
        <f>'Divrsfd -IS'!N30</f>
        <v>0.5943919256888746</v>
      </c>
    </row>
    <row r="6" spans="1:5" ht="16.5" thickBot="1">
      <c r="A6" s="180"/>
      <c r="B6" s="181"/>
      <c r="C6" s="131"/>
      <c r="D6" s="182" t="s">
        <v>173</v>
      </c>
      <c r="E6" s="209">
        <v>15000</v>
      </c>
    </row>
    <row r="7" spans="1:5" ht="15.75">
      <c r="A7" s="173" t="s">
        <v>174</v>
      </c>
      <c r="B7" s="183"/>
      <c r="C7" s="183"/>
      <c r="D7" s="183"/>
      <c r="E7" s="183"/>
    </row>
    <row r="8" spans="1:5" ht="16.5" thickBot="1">
      <c r="A8" s="173"/>
      <c r="B8" s="183"/>
      <c r="C8" s="183"/>
      <c r="D8" s="183"/>
      <c r="E8" s="183"/>
    </row>
    <row r="9" spans="1:5" ht="15.75">
      <c r="A9" s="184"/>
      <c r="B9" s="185" t="s">
        <v>175</v>
      </c>
      <c r="C9" s="185" t="s">
        <v>176</v>
      </c>
      <c r="D9" s="185" t="s">
        <v>153</v>
      </c>
      <c r="E9" s="186" t="s">
        <v>177</v>
      </c>
    </row>
    <row r="10" spans="1:5" ht="16.5" thickBot="1">
      <c r="A10" s="187" t="s">
        <v>39</v>
      </c>
      <c r="B10" s="188" t="s">
        <v>178</v>
      </c>
      <c r="C10" s="188" t="s">
        <v>178</v>
      </c>
      <c r="D10" s="188" t="s">
        <v>178</v>
      </c>
      <c r="E10" s="189" t="s">
        <v>179</v>
      </c>
    </row>
    <row r="11" spans="1:5" ht="15.75">
      <c r="A11" s="190">
        <v>238602.71963760734</v>
      </c>
      <c r="B11" s="191">
        <f>Fixed_expenses</f>
        <v>141823.53000000003</v>
      </c>
      <c r="C11" s="191">
        <f>BE_Revenue*(1-Contribution_margin)</f>
        <v>96779.18963760727</v>
      </c>
      <c r="D11" s="191">
        <f>BE_Variable+BE_Fixed</f>
        <v>238602.71963760728</v>
      </c>
      <c r="E11" s="191">
        <f>BE_Revenue-BE_Total</f>
        <v>0</v>
      </c>
    </row>
    <row r="12" spans="1:5" ht="15.75">
      <c r="A12" s="192"/>
      <c r="B12" s="183"/>
      <c r="C12" s="183"/>
      <c r="D12" s="183"/>
      <c r="E12" s="183"/>
    </row>
    <row r="13" spans="1:5" ht="15.75">
      <c r="A13" s="173" t="s">
        <v>180</v>
      </c>
      <c r="B13" s="183"/>
      <c r="C13" s="183"/>
      <c r="D13" s="183"/>
      <c r="E13" s="183"/>
    </row>
    <row r="14" spans="1:5" ht="15.75">
      <c r="A14" s="173"/>
      <c r="B14" s="183"/>
      <c r="C14" s="183"/>
      <c r="D14" s="183"/>
      <c r="E14" s="183"/>
    </row>
    <row r="15" spans="1:5" ht="15.75">
      <c r="A15" s="193"/>
      <c r="B15" s="194" t="s">
        <v>181</v>
      </c>
      <c r="C15" s="194" t="s">
        <v>181</v>
      </c>
      <c r="D15" s="194" t="s">
        <v>182</v>
      </c>
      <c r="E15" s="194"/>
    </row>
    <row r="16" spans="1:5" ht="15.75">
      <c r="A16" s="195" t="s">
        <v>39</v>
      </c>
      <c r="B16" s="196" t="s">
        <v>175</v>
      </c>
      <c r="C16" s="196" t="s">
        <v>176</v>
      </c>
      <c r="D16" s="196" t="s">
        <v>153</v>
      </c>
      <c r="E16" s="196" t="s">
        <v>183</v>
      </c>
    </row>
    <row r="17" spans="1:5" ht="15.75">
      <c r="A17" s="197">
        <f aca="true" t="shared" si="0" ref="A17:A28">A18-Revenue_increments</f>
        <v>58602.71963760734</v>
      </c>
      <c r="B17" s="198">
        <f>B11</f>
        <v>141823.53000000003</v>
      </c>
      <c r="C17" s="197">
        <f>Table_Revenue*(1-Contribution_margin)</f>
        <v>23769.73626160469</v>
      </c>
      <c r="D17" s="199">
        <f aca="true" t="shared" si="1" ref="D17:D27">Table_Variable+Table_Fixed</f>
        <v>165593.26626160473</v>
      </c>
      <c r="E17" s="199">
        <f aca="true" t="shared" si="2" ref="E17:E38">Table_Revenue-Table_total</f>
        <v>-106990.54662399739</v>
      </c>
    </row>
    <row r="18" spans="1:5" ht="15.75">
      <c r="A18" s="197">
        <f t="shared" si="0"/>
        <v>73602.71963760734</v>
      </c>
      <c r="B18" s="198">
        <f>B11</f>
        <v>141823.53000000003</v>
      </c>
      <c r="C18" s="197">
        <f aca="true" t="shared" si="3" ref="C18:C28">Table_Revenue*(1-Contribution_margin)</f>
        <v>29853.85737627157</v>
      </c>
      <c r="D18" s="200">
        <f t="shared" si="1"/>
        <v>171677.3873762716</v>
      </c>
      <c r="E18" s="200">
        <f t="shared" si="2"/>
        <v>-98074.66773866426</v>
      </c>
    </row>
    <row r="19" spans="1:5" ht="15.75">
      <c r="A19" s="197">
        <f t="shared" si="0"/>
        <v>88602.71963760734</v>
      </c>
      <c r="B19" s="198">
        <f>B11</f>
        <v>141823.53000000003</v>
      </c>
      <c r="C19" s="197">
        <f t="shared" si="3"/>
        <v>35937.978490938454</v>
      </c>
      <c r="D19" s="200">
        <f t="shared" si="1"/>
        <v>177761.5084909385</v>
      </c>
      <c r="E19" s="200">
        <f t="shared" si="2"/>
        <v>-89158.78885333115</v>
      </c>
    </row>
    <row r="20" spans="1:5" ht="15.75">
      <c r="A20" s="197">
        <f t="shared" si="0"/>
        <v>103602.71963760734</v>
      </c>
      <c r="B20" s="200">
        <f aca="true" t="shared" si="4" ref="B20:B26">Fixed_expenses</f>
        <v>141823.53000000003</v>
      </c>
      <c r="C20" s="197">
        <f t="shared" si="3"/>
        <v>42022.09960560533</v>
      </c>
      <c r="D20" s="200">
        <f t="shared" si="1"/>
        <v>183845.62960560535</v>
      </c>
      <c r="E20" s="200">
        <f t="shared" si="2"/>
        <v>-80242.90996799801</v>
      </c>
    </row>
    <row r="21" spans="1:5" ht="15.75">
      <c r="A21" s="197">
        <f t="shared" si="0"/>
        <v>118602.71963760734</v>
      </c>
      <c r="B21" s="200">
        <f t="shared" si="4"/>
        <v>141823.53000000003</v>
      </c>
      <c r="C21" s="197">
        <f t="shared" si="3"/>
        <v>48106.22072027221</v>
      </c>
      <c r="D21" s="200">
        <f t="shared" si="1"/>
        <v>189929.75072027225</v>
      </c>
      <c r="E21" s="200">
        <f t="shared" si="2"/>
        <v>-71327.03108266491</v>
      </c>
    </row>
    <row r="22" spans="1:5" ht="15.75">
      <c r="A22" s="197">
        <f t="shared" si="0"/>
        <v>133602.71963760734</v>
      </c>
      <c r="B22" s="200">
        <f t="shared" si="4"/>
        <v>141823.53000000003</v>
      </c>
      <c r="C22" s="197">
        <f t="shared" si="3"/>
        <v>54190.3418349391</v>
      </c>
      <c r="D22" s="200">
        <f t="shared" si="1"/>
        <v>196013.8718349391</v>
      </c>
      <c r="E22" s="200">
        <f t="shared" si="2"/>
        <v>-62411.15219733177</v>
      </c>
    </row>
    <row r="23" spans="1:5" ht="15.75">
      <c r="A23" s="197">
        <f t="shared" si="0"/>
        <v>148602.71963760734</v>
      </c>
      <c r="B23" s="200">
        <f t="shared" si="4"/>
        <v>141823.53000000003</v>
      </c>
      <c r="C23" s="197">
        <f t="shared" si="3"/>
        <v>60274.46294960598</v>
      </c>
      <c r="D23" s="200">
        <f t="shared" si="1"/>
        <v>202097.992949606</v>
      </c>
      <c r="E23" s="200">
        <f t="shared" si="2"/>
        <v>-53495.273311998666</v>
      </c>
    </row>
    <row r="24" spans="1:5" ht="15.75">
      <c r="A24" s="197">
        <f t="shared" si="0"/>
        <v>163602.71963760734</v>
      </c>
      <c r="B24" s="200">
        <f t="shared" si="4"/>
        <v>141823.53000000003</v>
      </c>
      <c r="C24" s="197">
        <f t="shared" si="3"/>
        <v>66358.58406427286</v>
      </c>
      <c r="D24" s="200">
        <f t="shared" si="1"/>
        <v>208182.1140642729</v>
      </c>
      <c r="E24" s="200">
        <f t="shared" si="2"/>
        <v>-44579.39442666556</v>
      </c>
    </row>
    <row r="25" spans="1:5" ht="15.75">
      <c r="A25" s="197">
        <f t="shared" si="0"/>
        <v>178602.71963760734</v>
      </c>
      <c r="B25" s="200">
        <f t="shared" si="4"/>
        <v>141823.53000000003</v>
      </c>
      <c r="C25" s="197">
        <f t="shared" si="3"/>
        <v>72442.70517893974</v>
      </c>
      <c r="D25" s="200">
        <f t="shared" si="1"/>
        <v>214266.23517893977</v>
      </c>
      <c r="E25" s="200">
        <f t="shared" si="2"/>
        <v>-35663.515541332425</v>
      </c>
    </row>
    <row r="26" spans="1:5" ht="15.75">
      <c r="A26" s="197">
        <f t="shared" si="0"/>
        <v>193602.71963760734</v>
      </c>
      <c r="B26" s="201">
        <f t="shared" si="4"/>
        <v>141823.53000000003</v>
      </c>
      <c r="C26" s="197">
        <f t="shared" si="3"/>
        <v>78526.82629360662</v>
      </c>
      <c r="D26" s="201">
        <f t="shared" si="1"/>
        <v>220350.35629360663</v>
      </c>
      <c r="E26" s="197">
        <f t="shared" si="2"/>
        <v>-26747.63665599929</v>
      </c>
    </row>
    <row r="27" spans="1:5" ht="15.75">
      <c r="A27" s="197">
        <f t="shared" si="0"/>
        <v>208602.71963760734</v>
      </c>
      <c r="B27" s="202">
        <f>BE_Fixed</f>
        <v>141823.53000000003</v>
      </c>
      <c r="C27" s="197">
        <f t="shared" si="3"/>
        <v>84610.94740827351</v>
      </c>
      <c r="D27" s="201">
        <f t="shared" si="1"/>
        <v>226434.47740827355</v>
      </c>
      <c r="E27" s="197">
        <f t="shared" si="2"/>
        <v>-17831.757770666212</v>
      </c>
    </row>
    <row r="28" spans="1:5" ht="15.75">
      <c r="A28" s="197">
        <f t="shared" si="0"/>
        <v>223602.71963760734</v>
      </c>
      <c r="B28" s="200">
        <f aca="true" t="shared" si="5" ref="B28:B41">Fixed_expenses</f>
        <v>141823.53000000003</v>
      </c>
      <c r="C28" s="197">
        <f t="shared" si="3"/>
        <v>90695.06852294039</v>
      </c>
      <c r="D28" s="200">
        <f aca="true" t="shared" si="6" ref="D28:D38">Table_Variable+Table_Fixed</f>
        <v>232518.59852294042</v>
      </c>
      <c r="E28" s="200">
        <f t="shared" si="2"/>
        <v>-8915.878885333077</v>
      </c>
    </row>
    <row r="29" spans="1:5" ht="15.75">
      <c r="A29" s="203">
        <f>A11</f>
        <v>238602.71963760734</v>
      </c>
      <c r="B29" s="204">
        <f>B11</f>
        <v>141823.53000000003</v>
      </c>
      <c r="C29" s="204">
        <f>C11</f>
        <v>96779.18963760727</v>
      </c>
      <c r="D29" s="204">
        <f>D11</f>
        <v>238602.71963760728</v>
      </c>
      <c r="E29" s="204">
        <f>E11</f>
        <v>0</v>
      </c>
    </row>
    <row r="30" spans="1:5" ht="15.75">
      <c r="A30" s="197">
        <f aca="true" t="shared" si="7" ref="A30:A41">A29+Revenue_increments</f>
        <v>253602.71963760734</v>
      </c>
      <c r="B30" s="200">
        <f t="shared" si="5"/>
        <v>141823.53000000003</v>
      </c>
      <c r="C30" s="200">
        <f>Table_Revenue*(1-Contribution_margin)</f>
        <v>102863.31075227415</v>
      </c>
      <c r="D30" s="200">
        <f t="shared" si="6"/>
        <v>244686.84075227418</v>
      </c>
      <c r="E30" s="200">
        <f t="shared" si="2"/>
        <v>8915.878885333164</v>
      </c>
    </row>
    <row r="31" spans="1:5" ht="15.75">
      <c r="A31" s="197">
        <f t="shared" si="7"/>
        <v>268602.71963760734</v>
      </c>
      <c r="B31" s="200">
        <f t="shared" si="5"/>
        <v>141823.53000000003</v>
      </c>
      <c r="C31" s="200">
        <f aca="true" t="shared" si="8" ref="C31:C38">Table_Revenue*(1-Contribution_margin)</f>
        <v>108947.43186694103</v>
      </c>
      <c r="D31" s="200">
        <f t="shared" si="6"/>
        <v>250770.96186694107</v>
      </c>
      <c r="E31" s="200">
        <f t="shared" si="2"/>
        <v>17831.75777066627</v>
      </c>
    </row>
    <row r="32" spans="1:5" ht="15.75">
      <c r="A32" s="197">
        <f t="shared" si="7"/>
        <v>283602.71963760734</v>
      </c>
      <c r="B32" s="200">
        <f t="shared" si="5"/>
        <v>141823.53000000003</v>
      </c>
      <c r="C32" s="200">
        <f t="shared" si="8"/>
        <v>115031.5529816079</v>
      </c>
      <c r="D32" s="200">
        <f t="shared" si="6"/>
        <v>256855.08298160793</v>
      </c>
      <c r="E32" s="200">
        <f t="shared" si="2"/>
        <v>26747.636655999406</v>
      </c>
    </row>
    <row r="33" spans="1:5" ht="15.75">
      <c r="A33" s="197">
        <f t="shared" si="7"/>
        <v>298602.71963760734</v>
      </c>
      <c r="B33" s="200">
        <f t="shared" si="5"/>
        <v>141823.53000000003</v>
      </c>
      <c r="C33" s="200">
        <f t="shared" si="8"/>
        <v>121115.6740962748</v>
      </c>
      <c r="D33" s="200">
        <f t="shared" si="6"/>
        <v>262939.2040962748</v>
      </c>
      <c r="E33" s="200">
        <f t="shared" si="2"/>
        <v>35663.51554133254</v>
      </c>
    </row>
    <row r="34" spans="1:5" ht="15.75">
      <c r="A34" s="197">
        <f t="shared" si="7"/>
        <v>313602.71963760734</v>
      </c>
      <c r="B34" s="200">
        <f t="shared" si="5"/>
        <v>141823.53000000003</v>
      </c>
      <c r="C34" s="200">
        <f t="shared" si="8"/>
        <v>127199.79521094168</v>
      </c>
      <c r="D34" s="200">
        <f t="shared" si="6"/>
        <v>269023.3252109417</v>
      </c>
      <c r="E34" s="200">
        <f t="shared" si="2"/>
        <v>44579.39442666562</v>
      </c>
    </row>
    <row r="35" spans="1:5" ht="15.75">
      <c r="A35" s="197">
        <f t="shared" si="7"/>
        <v>328602.71963760734</v>
      </c>
      <c r="B35" s="200">
        <f t="shared" si="5"/>
        <v>141823.53000000003</v>
      </c>
      <c r="C35" s="200">
        <f t="shared" si="8"/>
        <v>133283.91632560856</v>
      </c>
      <c r="D35" s="200">
        <f t="shared" si="6"/>
        <v>275107.4463256086</v>
      </c>
      <c r="E35" s="200">
        <f t="shared" si="2"/>
        <v>53495.27331199875</v>
      </c>
    </row>
    <row r="36" spans="1:5" ht="15.75">
      <c r="A36" s="197">
        <f t="shared" si="7"/>
        <v>343602.71963760734</v>
      </c>
      <c r="B36" s="200">
        <f t="shared" si="5"/>
        <v>141823.53000000003</v>
      </c>
      <c r="C36" s="200">
        <f t="shared" si="8"/>
        <v>139368.03744027545</v>
      </c>
      <c r="D36" s="200">
        <f t="shared" si="6"/>
        <v>281191.56744027545</v>
      </c>
      <c r="E36" s="200">
        <f t="shared" si="2"/>
        <v>62411.15219733189</v>
      </c>
    </row>
    <row r="37" spans="1:5" ht="15.75">
      <c r="A37" s="197">
        <f t="shared" si="7"/>
        <v>358602.71963760734</v>
      </c>
      <c r="B37" s="200">
        <f t="shared" si="5"/>
        <v>141823.53000000003</v>
      </c>
      <c r="C37" s="200">
        <f t="shared" si="8"/>
        <v>145452.15855494232</v>
      </c>
      <c r="D37" s="200">
        <f t="shared" si="6"/>
        <v>287275.6885549424</v>
      </c>
      <c r="E37" s="200">
        <f t="shared" si="2"/>
        <v>71327.03108266497</v>
      </c>
    </row>
    <row r="38" spans="1:5" ht="15.75">
      <c r="A38" s="201">
        <f t="shared" si="7"/>
        <v>373602.71963760734</v>
      </c>
      <c r="B38" s="201">
        <f t="shared" si="5"/>
        <v>141823.53000000003</v>
      </c>
      <c r="C38" s="197">
        <f t="shared" si="8"/>
        <v>151536.2796696092</v>
      </c>
      <c r="D38" s="201">
        <f t="shared" si="6"/>
        <v>293359.80966960924</v>
      </c>
      <c r="E38" s="197">
        <f t="shared" si="2"/>
        <v>80242.9099679981</v>
      </c>
    </row>
    <row r="39" spans="1:5" ht="15.75">
      <c r="A39" s="197">
        <f t="shared" si="7"/>
        <v>388602.71963760734</v>
      </c>
      <c r="B39" s="201">
        <f t="shared" si="5"/>
        <v>141823.53000000003</v>
      </c>
      <c r="C39" s="197">
        <f>A39*(1-Contribution_margin)</f>
        <v>157620.40078427608</v>
      </c>
      <c r="D39" s="201">
        <f>B39+C39</f>
        <v>299443.9307842761</v>
      </c>
      <c r="E39" s="197">
        <f>A39-D39</f>
        <v>89158.78885333124</v>
      </c>
    </row>
    <row r="40" spans="1:5" ht="15.75">
      <c r="A40" s="197">
        <f t="shared" si="7"/>
        <v>403602.71963760734</v>
      </c>
      <c r="B40" s="201">
        <f t="shared" si="5"/>
        <v>141823.53000000003</v>
      </c>
      <c r="C40" s="197">
        <f>A40*(1-Contribution_margin)</f>
        <v>163704.52189894297</v>
      </c>
      <c r="D40" s="201">
        <f>B40+C40</f>
        <v>305528.051898943</v>
      </c>
      <c r="E40" s="197">
        <f>A40-D40</f>
        <v>98074.66773866431</v>
      </c>
    </row>
    <row r="41" spans="1:5" ht="15.75">
      <c r="A41" s="205">
        <f t="shared" si="7"/>
        <v>418602.71963760734</v>
      </c>
      <c r="B41" s="206">
        <f t="shared" si="5"/>
        <v>141823.53000000003</v>
      </c>
      <c r="C41" s="205">
        <f>A41*(1-Contribution_margin)</f>
        <v>169788.64301360984</v>
      </c>
      <c r="D41" s="206">
        <f>B41+C41</f>
        <v>311612.17301360983</v>
      </c>
      <c r="E41" s="205">
        <f>A41-D41</f>
        <v>106990.5466239975</v>
      </c>
    </row>
  </sheetData>
  <sheetProtection/>
  <mergeCells count="1">
    <mergeCell ref="A1:E1"/>
  </mergeCells>
  <printOptions horizontalCentered="1"/>
  <pageMargins left="0.1968503937007874" right="0.1968503937007874" top="0.35433070866141736" bottom="0.35433070866141736" header="0.31496062992125984" footer="0.31496062992125984"/>
  <pageSetup fitToHeight="1" fitToWidth="1" horizontalDpi="360" verticalDpi="3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5" width="14.83203125" style="0" customWidth="1"/>
  </cols>
  <sheetData>
    <row r="1" spans="1:5" ht="23.25" thickBot="1">
      <c r="A1" s="319" t="s">
        <v>185</v>
      </c>
      <c r="B1" s="320"/>
      <c r="C1" s="320"/>
      <c r="D1" s="320"/>
      <c r="E1" s="321"/>
    </row>
    <row r="2" spans="1:5" ht="16.5" thickBot="1">
      <c r="A2" s="173"/>
      <c r="B2" s="173"/>
      <c r="C2" s="173"/>
      <c r="D2" s="173"/>
      <c r="E2" s="173"/>
    </row>
    <row r="3" spans="1:5" ht="15.75">
      <c r="A3" s="174" t="s">
        <v>83</v>
      </c>
      <c r="B3" s="175"/>
      <c r="C3" s="175"/>
      <c r="D3" s="175"/>
      <c r="E3" s="176"/>
    </row>
    <row r="4" spans="1:5" ht="15.75">
      <c r="A4" s="177"/>
      <c r="B4" s="178"/>
      <c r="C4" s="110"/>
      <c r="D4" s="179" t="s">
        <v>171</v>
      </c>
      <c r="E4" s="207">
        <f>'Divrsfd -IS'!O39+'Divrsfd -IS'!O52+'Divrsfd -IS'!O60</f>
        <v>146625.3259</v>
      </c>
    </row>
    <row r="5" spans="1:5" ht="15.75">
      <c r="A5" s="177"/>
      <c r="B5" s="178"/>
      <c r="C5" s="110"/>
      <c r="D5" s="179" t="s">
        <v>172</v>
      </c>
      <c r="E5" s="208">
        <f>'Divrsfd -IS'!O30</f>
        <v>0.5964473958355916</v>
      </c>
    </row>
    <row r="6" spans="1:5" ht="16.5" thickBot="1">
      <c r="A6" s="180"/>
      <c r="B6" s="181"/>
      <c r="C6" s="131"/>
      <c r="D6" s="182" t="s">
        <v>173</v>
      </c>
      <c r="E6" s="209">
        <v>15000</v>
      </c>
    </row>
    <row r="7" spans="1:5" ht="15.75">
      <c r="A7" s="173" t="s">
        <v>174</v>
      </c>
      <c r="B7" s="183"/>
      <c r="C7" s="183"/>
      <c r="D7" s="183"/>
      <c r="E7" s="183"/>
    </row>
    <row r="8" spans="1:5" ht="16.5" thickBot="1">
      <c r="A8" s="173"/>
      <c r="B8" s="183"/>
      <c r="C8" s="183"/>
      <c r="D8" s="183"/>
      <c r="E8" s="183"/>
    </row>
    <row r="9" spans="1:5" ht="15.75">
      <c r="A9" s="184"/>
      <c r="B9" s="185" t="s">
        <v>175</v>
      </c>
      <c r="C9" s="185" t="s">
        <v>176</v>
      </c>
      <c r="D9" s="185" t="s">
        <v>153</v>
      </c>
      <c r="E9" s="186" t="s">
        <v>177</v>
      </c>
    </row>
    <row r="10" spans="1:5" ht="16.5" thickBot="1">
      <c r="A10" s="187" t="s">
        <v>39</v>
      </c>
      <c r="B10" s="188" t="s">
        <v>178</v>
      </c>
      <c r="C10" s="188" t="s">
        <v>178</v>
      </c>
      <c r="D10" s="188" t="s">
        <v>178</v>
      </c>
      <c r="E10" s="189" t="s">
        <v>179</v>
      </c>
    </row>
    <row r="11" spans="1:5" ht="15.75">
      <c r="A11" s="190">
        <v>245831.11088042494</v>
      </c>
      <c r="B11" s="191">
        <f>Fixed_expenses</f>
        <v>146625.3259</v>
      </c>
      <c r="C11" s="191">
        <f>BE_Revenue*(1-Contribution_margin)</f>
        <v>99205.78498042491</v>
      </c>
      <c r="D11" s="191">
        <f>BE_Variable+BE_Fixed</f>
        <v>245831.1108804249</v>
      </c>
      <c r="E11" s="191">
        <f>BE_Revenue-BE_Total</f>
        <v>0</v>
      </c>
    </row>
    <row r="12" spans="1:5" ht="15.75">
      <c r="A12" s="192"/>
      <c r="B12" s="183"/>
      <c r="C12" s="183"/>
      <c r="D12" s="183"/>
      <c r="E12" s="183"/>
    </row>
    <row r="13" spans="1:5" ht="15.75">
      <c r="A13" s="173" t="s">
        <v>180</v>
      </c>
      <c r="B13" s="183"/>
      <c r="C13" s="183"/>
      <c r="D13" s="183"/>
      <c r="E13" s="183"/>
    </row>
    <row r="14" spans="1:5" ht="15.75">
      <c r="A14" s="173"/>
      <c r="B14" s="183"/>
      <c r="C14" s="183"/>
      <c r="D14" s="183"/>
      <c r="E14" s="183"/>
    </row>
    <row r="15" spans="1:5" ht="15.75">
      <c r="A15" s="193"/>
      <c r="B15" s="194" t="s">
        <v>181</v>
      </c>
      <c r="C15" s="194" t="s">
        <v>181</v>
      </c>
      <c r="D15" s="194" t="s">
        <v>182</v>
      </c>
      <c r="E15" s="194"/>
    </row>
    <row r="16" spans="1:5" ht="15.75">
      <c r="A16" s="195" t="s">
        <v>39</v>
      </c>
      <c r="B16" s="196" t="s">
        <v>175</v>
      </c>
      <c r="C16" s="196" t="s">
        <v>176</v>
      </c>
      <c r="D16" s="196" t="s">
        <v>153</v>
      </c>
      <c r="E16" s="196" t="s">
        <v>183</v>
      </c>
    </row>
    <row r="17" spans="1:5" ht="15.75">
      <c r="A17" s="197">
        <f aca="true" t="shared" si="0" ref="A17:A28">A18-Revenue_increments</f>
        <v>65831.11088042494</v>
      </c>
      <c r="B17" s="198">
        <f>B11</f>
        <v>146625.3259</v>
      </c>
      <c r="C17" s="197">
        <f aca="true" t="shared" si="1" ref="C17:C28">Table_Revenue*(1-Contribution_margin)</f>
        <v>26566.316230831406</v>
      </c>
      <c r="D17" s="199">
        <f aca="true" t="shared" si="2" ref="D17:D28">Table_Variable+Table_Fixed</f>
        <v>173191.6421308314</v>
      </c>
      <c r="E17" s="199">
        <f aca="true" t="shared" si="3" ref="E17:E28">Table_Revenue-Table_total</f>
        <v>-107360.53125040646</v>
      </c>
    </row>
    <row r="18" spans="1:5" ht="15.75">
      <c r="A18" s="197">
        <f t="shared" si="0"/>
        <v>80831.11088042494</v>
      </c>
      <c r="B18" s="198">
        <f>B11</f>
        <v>146625.3259</v>
      </c>
      <c r="C18" s="197">
        <f t="shared" si="1"/>
        <v>32619.605293297533</v>
      </c>
      <c r="D18" s="200">
        <f t="shared" si="2"/>
        <v>179244.93119329753</v>
      </c>
      <c r="E18" s="200">
        <f t="shared" si="3"/>
        <v>-98413.82031287259</v>
      </c>
    </row>
    <row r="19" spans="1:5" ht="15.75">
      <c r="A19" s="197">
        <f t="shared" si="0"/>
        <v>95831.11088042494</v>
      </c>
      <c r="B19" s="198">
        <f>B11</f>
        <v>146625.3259</v>
      </c>
      <c r="C19" s="197">
        <f t="shared" si="1"/>
        <v>38672.89435576366</v>
      </c>
      <c r="D19" s="200">
        <f t="shared" si="2"/>
        <v>185298.22025576365</v>
      </c>
      <c r="E19" s="200">
        <f t="shared" si="3"/>
        <v>-89467.10937533871</v>
      </c>
    </row>
    <row r="20" spans="1:5" ht="15.75">
      <c r="A20" s="197">
        <f t="shared" si="0"/>
        <v>110831.11088042494</v>
      </c>
      <c r="B20" s="200">
        <f aca="true" t="shared" si="4" ref="B20:B26">Fixed_expenses</f>
        <v>146625.3259</v>
      </c>
      <c r="C20" s="197">
        <f t="shared" si="1"/>
        <v>44726.18341822978</v>
      </c>
      <c r="D20" s="200">
        <f t="shared" si="2"/>
        <v>191351.50931822977</v>
      </c>
      <c r="E20" s="200">
        <f t="shared" si="3"/>
        <v>-80520.39843780483</v>
      </c>
    </row>
    <row r="21" spans="1:5" ht="15.75">
      <c r="A21" s="197">
        <f t="shared" si="0"/>
        <v>125831.11088042494</v>
      </c>
      <c r="B21" s="200">
        <f t="shared" si="4"/>
        <v>146625.3259</v>
      </c>
      <c r="C21" s="197">
        <f t="shared" si="1"/>
        <v>50779.47248069591</v>
      </c>
      <c r="D21" s="200">
        <f t="shared" si="2"/>
        <v>197404.79838069592</v>
      </c>
      <c r="E21" s="200">
        <f t="shared" si="3"/>
        <v>-71573.68750027099</v>
      </c>
    </row>
    <row r="22" spans="1:5" ht="15.75">
      <c r="A22" s="197">
        <f t="shared" si="0"/>
        <v>140831.11088042494</v>
      </c>
      <c r="B22" s="200">
        <f t="shared" si="4"/>
        <v>146625.3259</v>
      </c>
      <c r="C22" s="197">
        <f t="shared" si="1"/>
        <v>56832.761543162036</v>
      </c>
      <c r="D22" s="200">
        <f t="shared" si="2"/>
        <v>203458.08744316205</v>
      </c>
      <c r="E22" s="200">
        <f t="shared" si="3"/>
        <v>-62626.97656273711</v>
      </c>
    </row>
    <row r="23" spans="1:5" ht="15.75">
      <c r="A23" s="197">
        <f t="shared" si="0"/>
        <v>155831.11088042494</v>
      </c>
      <c r="B23" s="200">
        <f t="shared" si="4"/>
        <v>146625.3259</v>
      </c>
      <c r="C23" s="197">
        <f t="shared" si="1"/>
        <v>62886.05060562816</v>
      </c>
      <c r="D23" s="200">
        <f t="shared" si="2"/>
        <v>209511.37650562817</v>
      </c>
      <c r="E23" s="200">
        <f t="shared" si="3"/>
        <v>-53680.26562520323</v>
      </c>
    </row>
    <row r="24" spans="1:5" ht="15.75">
      <c r="A24" s="197">
        <f t="shared" si="0"/>
        <v>170831.11088042494</v>
      </c>
      <c r="B24" s="200">
        <f t="shared" si="4"/>
        <v>146625.3259</v>
      </c>
      <c r="C24" s="197">
        <f t="shared" si="1"/>
        <v>68939.33966809428</v>
      </c>
      <c r="D24" s="200">
        <f t="shared" si="2"/>
        <v>215564.6655680943</v>
      </c>
      <c r="E24" s="200">
        <f t="shared" si="3"/>
        <v>-44733.554687669355</v>
      </c>
    </row>
    <row r="25" spans="1:5" ht="15.75">
      <c r="A25" s="197">
        <f t="shared" si="0"/>
        <v>185831.11088042494</v>
      </c>
      <c r="B25" s="200">
        <f t="shared" si="4"/>
        <v>146625.3259</v>
      </c>
      <c r="C25" s="197">
        <f t="shared" si="1"/>
        <v>74992.62873056042</v>
      </c>
      <c r="D25" s="200">
        <f t="shared" si="2"/>
        <v>221617.95463056042</v>
      </c>
      <c r="E25" s="200">
        <f t="shared" si="3"/>
        <v>-35786.84375013548</v>
      </c>
    </row>
    <row r="26" spans="1:5" ht="15.75">
      <c r="A26" s="197">
        <f t="shared" si="0"/>
        <v>200831.11088042494</v>
      </c>
      <c r="B26" s="201">
        <f t="shared" si="4"/>
        <v>146625.3259</v>
      </c>
      <c r="C26" s="197">
        <f t="shared" si="1"/>
        <v>81045.91779302654</v>
      </c>
      <c r="D26" s="201">
        <f t="shared" si="2"/>
        <v>227671.24369302654</v>
      </c>
      <c r="E26" s="197">
        <f t="shared" si="3"/>
        <v>-26840.1328126016</v>
      </c>
    </row>
    <row r="27" spans="1:5" ht="15.75">
      <c r="A27" s="197">
        <f t="shared" si="0"/>
        <v>215831.11088042494</v>
      </c>
      <c r="B27" s="202">
        <f>BE_Fixed</f>
        <v>146625.3259</v>
      </c>
      <c r="C27" s="197">
        <f t="shared" si="1"/>
        <v>87099.20685549267</v>
      </c>
      <c r="D27" s="201">
        <f t="shared" si="2"/>
        <v>233724.53275549266</v>
      </c>
      <c r="E27" s="197">
        <f t="shared" si="3"/>
        <v>-17893.421875067725</v>
      </c>
    </row>
    <row r="28" spans="1:5" ht="15.75">
      <c r="A28" s="197">
        <f t="shared" si="0"/>
        <v>230831.11088042494</v>
      </c>
      <c r="B28" s="200">
        <f>Fixed_expenses</f>
        <v>146625.3259</v>
      </c>
      <c r="C28" s="197">
        <f t="shared" si="1"/>
        <v>93152.49591795879</v>
      </c>
      <c r="D28" s="200">
        <f t="shared" si="2"/>
        <v>239777.8218179588</v>
      </c>
      <c r="E28" s="200">
        <f t="shared" si="3"/>
        <v>-8946.710937533848</v>
      </c>
    </row>
    <row r="29" spans="1:5" ht="15.75">
      <c r="A29" s="203">
        <f>A11</f>
        <v>245831.11088042494</v>
      </c>
      <c r="B29" s="204">
        <f>B11</f>
        <v>146625.3259</v>
      </c>
      <c r="C29" s="204">
        <f>C11</f>
        <v>99205.78498042491</v>
      </c>
      <c r="D29" s="204">
        <f>D11</f>
        <v>245831.1108804249</v>
      </c>
      <c r="E29" s="204">
        <f>E11</f>
        <v>0</v>
      </c>
    </row>
    <row r="30" spans="1:5" ht="15.75">
      <c r="A30" s="197">
        <f aca="true" t="shared" si="5" ref="A30:A41">A29+Revenue_increments</f>
        <v>260831.11088042494</v>
      </c>
      <c r="B30" s="200">
        <f aca="true" t="shared" si="6" ref="B30:B41">Fixed_expenses</f>
        <v>146625.3259</v>
      </c>
      <c r="C30" s="200">
        <f aca="true" t="shared" si="7" ref="C30:C38">Table_Revenue*(1-Contribution_margin)</f>
        <v>105259.07404289105</v>
      </c>
      <c r="D30" s="200">
        <f aca="true" t="shared" si="8" ref="D30:D38">Table_Variable+Table_Fixed</f>
        <v>251884.39994289103</v>
      </c>
      <c r="E30" s="200">
        <f aca="true" t="shared" si="9" ref="E30:E38">Table_Revenue-Table_total</f>
        <v>8946.710937533906</v>
      </c>
    </row>
    <row r="31" spans="1:5" ht="15.75">
      <c r="A31" s="197">
        <f t="shared" si="5"/>
        <v>275831.11088042497</v>
      </c>
      <c r="B31" s="200">
        <f t="shared" si="6"/>
        <v>146625.3259</v>
      </c>
      <c r="C31" s="200">
        <f t="shared" si="7"/>
        <v>111312.36310535719</v>
      </c>
      <c r="D31" s="200">
        <f t="shared" si="8"/>
        <v>257937.68900535718</v>
      </c>
      <c r="E31" s="200">
        <f t="shared" si="9"/>
        <v>17893.421875067783</v>
      </c>
    </row>
    <row r="32" spans="1:5" ht="15.75">
      <c r="A32" s="197">
        <f t="shared" si="5"/>
        <v>290831.11088042497</v>
      </c>
      <c r="B32" s="200">
        <f t="shared" si="6"/>
        <v>146625.3259</v>
      </c>
      <c r="C32" s="200">
        <f t="shared" si="7"/>
        <v>117365.65216782331</v>
      </c>
      <c r="D32" s="200">
        <f t="shared" si="8"/>
        <v>263990.97806782334</v>
      </c>
      <c r="E32" s="200">
        <f t="shared" si="9"/>
        <v>26840.13281260163</v>
      </c>
    </row>
    <row r="33" spans="1:5" ht="15.75">
      <c r="A33" s="197">
        <f t="shared" si="5"/>
        <v>305831.11088042497</v>
      </c>
      <c r="B33" s="200">
        <f t="shared" si="6"/>
        <v>146625.3259</v>
      </c>
      <c r="C33" s="200">
        <f t="shared" si="7"/>
        <v>123418.94123028943</v>
      </c>
      <c r="D33" s="200">
        <f t="shared" si="8"/>
        <v>270044.26713028946</v>
      </c>
      <c r="E33" s="200">
        <f t="shared" si="9"/>
        <v>35786.84375013551</v>
      </c>
    </row>
    <row r="34" spans="1:5" ht="15.75">
      <c r="A34" s="197">
        <f t="shared" si="5"/>
        <v>320831.11088042497</v>
      </c>
      <c r="B34" s="200">
        <f t="shared" si="6"/>
        <v>146625.3259</v>
      </c>
      <c r="C34" s="200">
        <f t="shared" si="7"/>
        <v>129472.23029275556</v>
      </c>
      <c r="D34" s="200">
        <f t="shared" si="8"/>
        <v>276097.5561927556</v>
      </c>
      <c r="E34" s="200">
        <f t="shared" si="9"/>
        <v>44733.554687669384</v>
      </c>
    </row>
    <row r="35" spans="1:5" ht="15.75">
      <c r="A35" s="197">
        <f t="shared" si="5"/>
        <v>335831.11088042497</v>
      </c>
      <c r="B35" s="200">
        <f t="shared" si="6"/>
        <v>146625.3259</v>
      </c>
      <c r="C35" s="200">
        <f t="shared" si="7"/>
        <v>135525.51935522168</v>
      </c>
      <c r="D35" s="200">
        <f t="shared" si="8"/>
        <v>282150.8452552217</v>
      </c>
      <c r="E35" s="200">
        <f t="shared" si="9"/>
        <v>53680.26562520326</v>
      </c>
    </row>
    <row r="36" spans="1:5" ht="15.75">
      <c r="A36" s="197">
        <f t="shared" si="5"/>
        <v>350831.11088042497</v>
      </c>
      <c r="B36" s="200">
        <f t="shared" si="6"/>
        <v>146625.3259</v>
      </c>
      <c r="C36" s="200">
        <f t="shared" si="7"/>
        <v>141578.8084176878</v>
      </c>
      <c r="D36" s="200">
        <f t="shared" si="8"/>
        <v>288204.1343176878</v>
      </c>
      <c r="E36" s="200">
        <f t="shared" si="9"/>
        <v>62626.97656273714</v>
      </c>
    </row>
    <row r="37" spans="1:5" ht="15.75">
      <c r="A37" s="197">
        <f t="shared" si="5"/>
        <v>365831.11088042497</v>
      </c>
      <c r="B37" s="200">
        <f t="shared" si="6"/>
        <v>146625.3259</v>
      </c>
      <c r="C37" s="200">
        <f t="shared" si="7"/>
        <v>147632.09748015393</v>
      </c>
      <c r="D37" s="200">
        <f t="shared" si="8"/>
        <v>294257.42338015395</v>
      </c>
      <c r="E37" s="200">
        <f t="shared" si="9"/>
        <v>71573.68750027101</v>
      </c>
    </row>
    <row r="38" spans="1:5" ht="15.75">
      <c r="A38" s="201">
        <f t="shared" si="5"/>
        <v>380831.11088042497</v>
      </c>
      <c r="B38" s="201">
        <f t="shared" si="6"/>
        <v>146625.3259</v>
      </c>
      <c r="C38" s="197">
        <f t="shared" si="7"/>
        <v>153685.38654262008</v>
      </c>
      <c r="D38" s="201">
        <f t="shared" si="8"/>
        <v>300310.7124426201</v>
      </c>
      <c r="E38" s="197">
        <f t="shared" si="9"/>
        <v>80520.39843780489</v>
      </c>
    </row>
    <row r="39" spans="1:5" ht="15.75">
      <c r="A39" s="197">
        <f t="shared" si="5"/>
        <v>395831.11088042497</v>
      </c>
      <c r="B39" s="201">
        <f t="shared" si="6"/>
        <v>146625.3259</v>
      </c>
      <c r="C39" s="197">
        <f>A39*(1-Contribution_margin)</f>
        <v>159738.6756050862</v>
      </c>
      <c r="D39" s="201">
        <f>B39+C39</f>
        <v>306364.0015050862</v>
      </c>
      <c r="E39" s="197">
        <f>A39-D39</f>
        <v>89467.10937533877</v>
      </c>
    </row>
    <row r="40" spans="1:5" ht="15.75">
      <c r="A40" s="197">
        <f t="shared" si="5"/>
        <v>410831.11088042497</v>
      </c>
      <c r="B40" s="201">
        <f t="shared" si="6"/>
        <v>146625.3259</v>
      </c>
      <c r="C40" s="197">
        <f>A40*(1-Contribution_margin)</f>
        <v>165791.96466755233</v>
      </c>
      <c r="D40" s="201">
        <f>B40+C40</f>
        <v>312417.2905675523</v>
      </c>
      <c r="E40" s="197">
        <f>A40-D40</f>
        <v>98413.82031287265</v>
      </c>
    </row>
    <row r="41" spans="1:5" ht="15.75">
      <c r="A41" s="205">
        <f t="shared" si="5"/>
        <v>425831.11088042497</v>
      </c>
      <c r="B41" s="206">
        <f t="shared" si="6"/>
        <v>146625.3259</v>
      </c>
      <c r="C41" s="205">
        <f>A41*(1-Contribution_margin)</f>
        <v>171845.25373001845</v>
      </c>
      <c r="D41" s="206">
        <f>B41+C41</f>
        <v>318470.57963001844</v>
      </c>
      <c r="E41" s="205">
        <f>A41-D41</f>
        <v>107360.53125040652</v>
      </c>
    </row>
  </sheetData>
  <sheetProtection/>
  <mergeCells count="1">
    <mergeCell ref="A1:E1"/>
  </mergeCells>
  <printOptions horizontalCentered="1"/>
  <pageMargins left="0.1968503937007874" right="0.1968503937007874" top="0.31496062992125984" bottom="0.31496062992125984" header="0.2755905511811024" footer="0.2755905511811024"/>
  <pageSetup fitToHeight="1" fitToWidth="1"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 SHAJEDUL ISLAM</cp:lastModifiedBy>
  <cp:lastPrinted>2002-01-22T20:37:28Z</cp:lastPrinted>
  <dcterms:created xsi:type="dcterms:W3CDTF">2001-07-24T12:21:12Z</dcterms:created>
  <dcterms:modified xsi:type="dcterms:W3CDTF">2021-05-21T04:26:37Z</dcterms:modified>
  <cp:category/>
  <cp:version/>
  <cp:contentType/>
  <cp:contentStatus/>
</cp:coreProperties>
</file>